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913"/>
  <workbookPr date1904="1" showInkAnnotation="0" autoCompressPictures="0"/>
  <bookViews>
    <workbookView xWindow="160" yWindow="0" windowWidth="29260" windowHeight="20360" tabRatio="887"/>
  </bookViews>
  <sheets>
    <sheet name="BUDGET" sheetId="7" r:id="rId1"/>
    <sheet name="SALARY" sheetId="8" r:id="rId2"/>
    <sheet name="DEPENDENTS" sheetId="6" r:id="rId3"/>
    <sheet name="MARRIAGE" sheetId="5" r:id="rId4"/>
    <sheet name="SPOUSE" sheetId="12" r:id="rId5"/>
    <sheet name="CAR PURCHASE" sheetId="10" r:id="rId6"/>
    <sheet name="INFORMATION" sheetId="9" r:id="rId7"/>
    <sheet name="MONTHLY LIVING" sheetId="3" r:id="rId8"/>
    <sheet name="PERSONAL FINANCES" sheetId="2" r:id="rId9"/>
    <sheet name="HOUSE-TRANSPORT" sheetId="1" state="hidden" r:id="rId10"/>
  </sheets>
  <definedNames>
    <definedName name="_xlnm.Print_Area" localSheetId="7">'MONTHLY LIVING'!$A$1:$G$98</definedName>
    <definedName name="Z_D8F4F400_1F22_11D7_BD75_C829030E573B_.wvu.PrintArea" localSheetId="7" hidden="1">'MONTHLY LIVING'!$A$1:$G$98</definedName>
  </definedNames>
  <calcPr calcId="140001" concurrentCalc="0"/>
  <customWorkbookViews>
    <customWorkbookView name="Bozo Inc - Personal View" guid="{D8F4F400-1F22-11D7-BD75-C829030E573B}" mergeInterval="0" personalView="1" xWindow="171" yWindow="21" windowWidth="829" windowHeight="631" tabRatio="717"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D13" i="7" l="1"/>
  <c r="E11" i="7"/>
  <c r="E23" i="7"/>
  <c r="E29" i="7"/>
  <c r="E13" i="7"/>
  <c r="E35" i="7"/>
  <c r="J41" i="7"/>
  <c r="E43" i="7"/>
  <c r="E45" i="7"/>
  <c r="E47" i="7"/>
  <c r="E49" i="7"/>
  <c r="E51" i="7"/>
  <c r="E53" i="7"/>
  <c r="D4" i="12"/>
  <c r="J4" i="12"/>
  <c r="E27" i="12"/>
  <c r="E18" i="12"/>
  <c r="E17" i="12"/>
  <c r="F10" i="3"/>
  <c r="F8" i="3"/>
  <c r="E12" i="2"/>
  <c r="E12" i="12"/>
  <c r="E10" i="12"/>
  <c r="D27" i="7"/>
  <c r="G31" i="9"/>
  <c r="E10" i="2"/>
  <c r="C16" i="1"/>
  <c r="C17" i="1"/>
  <c r="C18" i="1"/>
  <c r="C19" i="1"/>
  <c r="C20" i="1"/>
  <c r="C21" i="1"/>
  <c r="G30" i="9"/>
  <c r="E11" i="2"/>
  <c r="E11" i="12"/>
  <c r="G12" i="1"/>
  <c r="G24" i="1"/>
  <c r="G25" i="1"/>
  <c r="G26" i="1"/>
  <c r="G27" i="1"/>
  <c r="G28" i="1"/>
  <c r="F9" i="3"/>
  <c r="C25" i="9"/>
  <c r="F24" i="1"/>
  <c r="F25" i="1"/>
  <c r="F26" i="1"/>
  <c r="F27" i="1"/>
  <c r="F28" i="1"/>
  <c r="F12" i="3"/>
  <c r="D15" i="7"/>
  <c r="F13" i="3"/>
  <c r="F11" i="3"/>
  <c r="E13" i="2"/>
  <c r="E13" i="12"/>
  <c r="E24" i="1"/>
  <c r="E25" i="1"/>
  <c r="E26" i="1"/>
  <c r="E27" i="1"/>
  <c r="E28" i="1"/>
  <c r="F15" i="3"/>
  <c r="D17" i="7"/>
  <c r="F16" i="3"/>
  <c r="F14" i="3"/>
  <c r="E14" i="2"/>
  <c r="E14" i="12"/>
  <c r="F24" i="3"/>
  <c r="F21" i="3"/>
  <c r="E16" i="2"/>
  <c r="E16" i="12"/>
  <c r="B24" i="1"/>
  <c r="B25" i="1"/>
  <c r="B26" i="1"/>
  <c r="B27" i="1"/>
  <c r="B28" i="1"/>
  <c r="F34" i="3"/>
  <c r="F35" i="3"/>
  <c r="F30" i="3"/>
  <c r="E19" i="2"/>
  <c r="E19" i="12"/>
  <c r="C24" i="1"/>
  <c r="C25" i="1"/>
  <c r="C26" i="1"/>
  <c r="C27" i="1"/>
  <c r="C28" i="1"/>
  <c r="F43" i="3"/>
  <c r="D31" i="7"/>
  <c r="F44" i="3"/>
  <c r="F42" i="3"/>
  <c r="E21" i="2"/>
  <c r="E21" i="12"/>
  <c r="E23" i="12"/>
  <c r="E31" i="12"/>
  <c r="E29" i="12"/>
  <c r="E20" i="12"/>
  <c r="J37" i="12"/>
  <c r="J38" i="12"/>
  <c r="E15" i="12"/>
  <c r="B3" i="12"/>
  <c r="B2" i="12"/>
  <c r="J23" i="12"/>
  <c r="J21" i="12"/>
  <c r="J20" i="12"/>
  <c r="J19" i="12"/>
  <c r="J18" i="12"/>
  <c r="J17" i="12"/>
  <c r="J16" i="12"/>
  <c r="J15" i="12"/>
  <c r="J14" i="12"/>
  <c r="J13" i="12"/>
  <c r="J12" i="12"/>
  <c r="J11" i="12"/>
  <c r="J10" i="12"/>
  <c r="F96" i="3"/>
  <c r="F9" i="9"/>
  <c r="B15" i="5"/>
  <c r="D15" i="5"/>
  <c r="G14" i="9"/>
  <c r="C66" i="3"/>
  <c r="D11" i="10"/>
  <c r="D12" i="10"/>
  <c r="D13" i="10"/>
  <c r="D14" i="10"/>
  <c r="C42" i="9"/>
  <c r="G42" i="9"/>
  <c r="C45" i="9"/>
  <c r="E18" i="2"/>
  <c r="J4" i="2"/>
  <c r="B9" i="9"/>
  <c r="J3" i="2"/>
  <c r="J2" i="2"/>
  <c r="C52" i="9"/>
  <c r="G39" i="9"/>
  <c r="B25" i="10"/>
  <c r="D25" i="10"/>
  <c r="C25" i="10"/>
  <c r="G41" i="9"/>
  <c r="C44" i="9"/>
  <c r="C43" i="9"/>
  <c r="C41" i="9"/>
  <c r="B17" i="10"/>
  <c r="C40" i="9"/>
  <c r="C39" i="9"/>
  <c r="G28" i="6"/>
  <c r="H28" i="6"/>
  <c r="G29" i="6"/>
  <c r="H29" i="6"/>
  <c r="G30" i="6"/>
  <c r="H30" i="6"/>
  <c r="G31" i="6"/>
  <c r="H31" i="6"/>
  <c r="G32" i="6"/>
  <c r="H32" i="6"/>
  <c r="G33" i="6"/>
  <c r="H33" i="6"/>
  <c r="H35" i="6"/>
  <c r="F33" i="3"/>
  <c r="G35" i="9"/>
  <c r="G14" i="1"/>
  <c r="C12" i="1"/>
  <c r="G17" i="1"/>
  <c r="F7" i="3"/>
  <c r="C53" i="1"/>
  <c r="G22" i="1"/>
  <c r="G20" i="1"/>
  <c r="D27" i="3"/>
  <c r="A25" i="9"/>
  <c r="F55" i="1"/>
  <c r="F48" i="1"/>
  <c r="G48" i="1"/>
  <c r="F49" i="1"/>
  <c r="G49" i="1"/>
  <c r="F50" i="1"/>
  <c r="G50" i="1"/>
  <c r="F51" i="1"/>
  <c r="G51" i="1"/>
  <c r="F52" i="1"/>
  <c r="G52" i="1"/>
  <c r="F25" i="9"/>
  <c r="F53" i="1"/>
  <c r="G53" i="1"/>
  <c r="G47" i="1"/>
  <c r="F47" i="1"/>
  <c r="F43" i="1"/>
  <c r="G34" i="1"/>
  <c r="F42" i="1"/>
  <c r="G33" i="1"/>
  <c r="F41" i="1"/>
  <c r="G32" i="1"/>
  <c r="F40" i="1"/>
  <c r="G31" i="1"/>
  <c r="F39" i="1"/>
  <c r="G30" i="1"/>
  <c r="F34" i="1"/>
  <c r="F33" i="1"/>
  <c r="F32" i="1"/>
  <c r="F31" i="1"/>
  <c r="F30" i="1"/>
  <c r="E34" i="1"/>
  <c r="E33" i="1"/>
  <c r="E32" i="1"/>
  <c r="E30" i="1"/>
  <c r="E31" i="1"/>
  <c r="C34" i="1"/>
  <c r="C33" i="1"/>
  <c r="C32" i="1"/>
  <c r="C31" i="1"/>
  <c r="C30" i="1"/>
  <c r="B32" i="1"/>
  <c r="B33" i="1"/>
  <c r="B31" i="1"/>
  <c r="B30" i="1"/>
  <c r="B34" i="1"/>
  <c r="G16" i="9"/>
  <c r="F6" i="3"/>
  <c r="E21" i="7"/>
  <c r="F40" i="3"/>
  <c r="D29" i="7"/>
  <c r="F41" i="3"/>
  <c r="F26" i="3"/>
  <c r="F20" i="3"/>
  <c r="F17" i="3"/>
  <c r="E19" i="7"/>
  <c r="E31" i="7"/>
  <c r="E27" i="7"/>
  <c r="E17" i="7"/>
  <c r="E15" i="7"/>
  <c r="A24" i="9"/>
  <c r="D4" i="8"/>
  <c r="I4" i="8"/>
  <c r="S4" i="8"/>
  <c r="C31" i="9"/>
  <c r="G52" i="9"/>
  <c r="H9" i="7"/>
  <c r="J9" i="7"/>
  <c r="H11" i="7"/>
  <c r="J11" i="7"/>
  <c r="G35" i="1"/>
  <c r="H13" i="7"/>
  <c r="J13" i="7"/>
  <c r="F35" i="1"/>
  <c r="H15" i="7"/>
  <c r="J15" i="7"/>
  <c r="E35" i="1"/>
  <c r="H17" i="7"/>
  <c r="J17" i="7"/>
  <c r="H19" i="7"/>
  <c r="J19" i="7"/>
  <c r="H21" i="7"/>
  <c r="J21" i="7"/>
  <c r="H23" i="7"/>
  <c r="J23" i="7"/>
  <c r="H25" i="7"/>
  <c r="J25" i="7"/>
  <c r="B35" i="1"/>
  <c r="H27" i="7"/>
  <c r="J27" i="7"/>
  <c r="H29" i="7"/>
  <c r="J29" i="7"/>
  <c r="C35" i="1"/>
  <c r="H31" i="7"/>
  <c r="J31" i="7"/>
  <c r="E39" i="7"/>
  <c r="H43" i="7"/>
  <c r="J43" i="7"/>
  <c r="H45" i="7"/>
  <c r="J45" i="7"/>
  <c r="H47" i="7"/>
  <c r="J47" i="7"/>
  <c r="H49" i="7"/>
  <c r="J49" i="7"/>
  <c r="H51" i="7"/>
  <c r="J51" i="7"/>
  <c r="J53" i="7"/>
  <c r="J52" i="7"/>
  <c r="C2" i="3"/>
  <c r="F25" i="3"/>
  <c r="C48" i="1"/>
  <c r="F28" i="3"/>
  <c r="F28" i="6"/>
  <c r="F29" i="6"/>
  <c r="F30" i="6"/>
  <c r="F31" i="6"/>
  <c r="F32" i="6"/>
  <c r="F33" i="6"/>
  <c r="F38" i="3"/>
  <c r="F44" i="1"/>
  <c r="F46" i="3"/>
  <c r="F47" i="3"/>
  <c r="F45" i="3"/>
  <c r="F50" i="3"/>
  <c r="F59" i="3"/>
  <c r="F71" i="3"/>
  <c r="F78" i="3"/>
  <c r="F91" i="3"/>
  <c r="F95" i="3"/>
  <c r="F83" i="3"/>
  <c r="F100" i="3"/>
  <c r="B2" i="2"/>
  <c r="B3" i="2"/>
  <c r="D4" i="2"/>
  <c r="J10" i="2"/>
  <c r="J11" i="2"/>
  <c r="J12" i="2"/>
  <c r="J13" i="2"/>
  <c r="J14" i="2"/>
  <c r="E15" i="2"/>
  <c r="J15" i="2"/>
  <c r="J16" i="2"/>
  <c r="E17" i="2"/>
  <c r="J17" i="2"/>
  <c r="J18" i="2"/>
  <c r="J19" i="2"/>
  <c r="E20" i="2"/>
  <c r="J20" i="2"/>
  <c r="J21" i="2"/>
  <c r="E23" i="2"/>
  <c r="J23" i="2"/>
  <c r="J25" i="2"/>
  <c r="E27" i="2"/>
  <c r="J27" i="2"/>
  <c r="J44" i="2"/>
  <c r="J45" i="2"/>
  <c r="J46" i="2"/>
  <c r="J47" i="2"/>
  <c r="J48" i="2"/>
  <c r="E29" i="2"/>
  <c r="J37" i="2"/>
  <c r="J38" i="2"/>
  <c r="J39" i="2"/>
  <c r="J40" i="2"/>
  <c r="J41" i="2"/>
  <c r="E31" i="2"/>
  <c r="E33" i="2"/>
  <c r="A37" i="2"/>
  <c r="D37" i="2"/>
  <c r="A38" i="2"/>
  <c r="D38" i="2"/>
  <c r="A39" i="2"/>
  <c r="D39" i="2"/>
  <c r="A40" i="2"/>
  <c r="D40" i="2"/>
  <c r="B44" i="2"/>
  <c r="B45" i="2"/>
  <c r="B46" i="2"/>
  <c r="B47" i="2"/>
  <c r="D41" i="5"/>
  <c r="D67" i="5"/>
  <c r="D93" i="5"/>
  <c r="G4" i="8"/>
  <c r="J4" i="8"/>
  <c r="K4" i="8"/>
  <c r="L4" i="8"/>
  <c r="W4" i="8"/>
  <c r="N4" i="8"/>
  <c r="O4" i="8"/>
  <c r="U4" i="8"/>
  <c r="Y4" i="8"/>
  <c r="Q4" i="8"/>
  <c r="D5" i="8"/>
  <c r="G5" i="8"/>
  <c r="I5" i="8"/>
  <c r="J5" i="8"/>
  <c r="K5" i="8"/>
  <c r="L5" i="8"/>
  <c r="S5" i="8"/>
  <c r="W5" i="8"/>
  <c r="N5" i="8"/>
  <c r="O5" i="8"/>
  <c r="U5" i="8"/>
  <c r="Y5" i="8"/>
  <c r="Q5" i="8"/>
  <c r="D6" i="8"/>
  <c r="G6" i="8"/>
  <c r="I6" i="8"/>
  <c r="J6" i="8"/>
  <c r="K6" i="8"/>
  <c r="L6" i="8"/>
  <c r="S6" i="8"/>
  <c r="W6" i="8"/>
  <c r="N6" i="8"/>
  <c r="O6" i="8"/>
  <c r="U6" i="8"/>
  <c r="Y6" i="8"/>
  <c r="Q6" i="8"/>
  <c r="I7" i="8"/>
  <c r="J7" i="8"/>
  <c r="K7" i="8"/>
  <c r="L7" i="8"/>
  <c r="S7" i="8"/>
  <c r="W7" i="8"/>
  <c r="N7" i="8"/>
  <c r="O7" i="8"/>
  <c r="U7" i="8"/>
  <c r="Y7" i="8"/>
  <c r="Q7" i="8"/>
  <c r="D8" i="8"/>
  <c r="G8" i="8"/>
  <c r="I8" i="8"/>
  <c r="J8" i="8"/>
  <c r="K8" i="8"/>
  <c r="L8" i="8"/>
  <c r="S8" i="8"/>
  <c r="W8" i="8"/>
  <c r="N8" i="8"/>
  <c r="O8" i="8"/>
  <c r="U8" i="8"/>
  <c r="Y8" i="8"/>
  <c r="Q8" i="8"/>
  <c r="D9" i="8"/>
  <c r="G9" i="8"/>
  <c r="I9" i="8"/>
  <c r="J9" i="8"/>
  <c r="K9" i="8"/>
  <c r="L9" i="8"/>
  <c r="S9" i="8"/>
  <c r="W9" i="8"/>
  <c r="N9" i="8"/>
  <c r="O9" i="8"/>
  <c r="U9" i="8"/>
  <c r="Y9" i="8"/>
  <c r="Q9" i="8"/>
  <c r="I10" i="8"/>
  <c r="J10" i="8"/>
  <c r="K10" i="8"/>
  <c r="L10" i="8"/>
  <c r="S10" i="8"/>
  <c r="W10" i="8"/>
  <c r="N10" i="8"/>
  <c r="O10" i="8"/>
  <c r="U10" i="8"/>
  <c r="Y10" i="8"/>
  <c r="Q10" i="8"/>
  <c r="D11" i="8"/>
  <c r="G11" i="8"/>
  <c r="I11" i="8"/>
  <c r="J11" i="8"/>
  <c r="K11" i="8"/>
  <c r="L11" i="8"/>
  <c r="S11" i="8"/>
  <c r="W11" i="8"/>
  <c r="N11" i="8"/>
  <c r="O11" i="8"/>
  <c r="U11" i="8"/>
  <c r="Y11" i="8"/>
  <c r="Q11" i="8"/>
  <c r="D12" i="8"/>
  <c r="G12" i="8"/>
  <c r="I12" i="8"/>
  <c r="J12" i="8"/>
  <c r="K12" i="8"/>
  <c r="L12" i="8"/>
  <c r="S12" i="8"/>
  <c r="W12" i="8"/>
  <c r="N12" i="8"/>
  <c r="O12" i="8"/>
  <c r="U12" i="8"/>
  <c r="Y12" i="8"/>
  <c r="Q12" i="8"/>
  <c r="I13" i="8"/>
  <c r="J13" i="8"/>
  <c r="K13" i="8"/>
  <c r="L13" i="8"/>
  <c r="S13" i="8"/>
  <c r="W13" i="8"/>
  <c r="N13" i="8"/>
  <c r="O13" i="8"/>
  <c r="U13" i="8"/>
  <c r="Y13" i="8"/>
  <c r="Q13" i="8"/>
  <c r="D14" i="8"/>
  <c r="G14" i="8"/>
  <c r="I14" i="8"/>
  <c r="J14" i="8"/>
  <c r="K14" i="8"/>
  <c r="L14" i="8"/>
  <c r="S14" i="8"/>
  <c r="W14" i="8"/>
  <c r="N14" i="8"/>
  <c r="O14" i="8"/>
  <c r="U14" i="8"/>
  <c r="Y14" i="8"/>
  <c r="Q14" i="8"/>
  <c r="D15" i="8"/>
  <c r="G15" i="8"/>
  <c r="I15" i="8"/>
  <c r="J15" i="8"/>
  <c r="K15" i="8"/>
  <c r="L15" i="8"/>
  <c r="S15" i="8"/>
  <c r="W15" i="8"/>
  <c r="N15" i="8"/>
  <c r="O15" i="8"/>
  <c r="U15" i="8"/>
  <c r="Y15" i="8"/>
  <c r="Q15" i="8"/>
  <c r="I16" i="8"/>
  <c r="J16" i="8"/>
  <c r="K16" i="8"/>
  <c r="L16" i="8"/>
  <c r="S16" i="8"/>
  <c r="W16" i="8"/>
  <c r="N16" i="8"/>
  <c r="O16" i="8"/>
  <c r="U16" i="8"/>
  <c r="Y16" i="8"/>
  <c r="Q16" i="8"/>
  <c r="D17" i="8"/>
  <c r="G17" i="8"/>
  <c r="I17" i="8"/>
  <c r="J17" i="8"/>
  <c r="K17" i="8"/>
  <c r="L17" i="8"/>
  <c r="S17" i="8"/>
  <c r="W17" i="8"/>
  <c r="N17" i="8"/>
  <c r="O17" i="8"/>
  <c r="U17" i="8"/>
  <c r="Y17" i="8"/>
  <c r="Q17" i="8"/>
  <c r="D18" i="8"/>
  <c r="G18" i="8"/>
  <c r="I18" i="8"/>
  <c r="J18" i="8"/>
  <c r="K18" i="8"/>
  <c r="L18" i="8"/>
  <c r="S18" i="8"/>
  <c r="W18" i="8"/>
  <c r="N18" i="8"/>
  <c r="O18" i="8"/>
  <c r="U18" i="8"/>
  <c r="Y18" i="8"/>
  <c r="Q18" i="8"/>
  <c r="I19" i="8"/>
  <c r="J19" i="8"/>
  <c r="K19" i="8"/>
  <c r="L19" i="8"/>
  <c r="S19" i="8"/>
  <c r="W19" i="8"/>
  <c r="N19" i="8"/>
  <c r="O19" i="8"/>
  <c r="U19" i="8"/>
  <c r="Y19" i="8"/>
  <c r="Q19" i="8"/>
  <c r="D21" i="8"/>
  <c r="G21" i="8"/>
  <c r="I21" i="8"/>
  <c r="J21" i="8"/>
  <c r="K21" i="8"/>
  <c r="L21" i="8"/>
  <c r="S21" i="8"/>
  <c r="W21" i="8"/>
  <c r="N21" i="8"/>
  <c r="O21" i="8"/>
  <c r="U21" i="8"/>
  <c r="Y21" i="8"/>
  <c r="Q21" i="8"/>
  <c r="T4" i="8"/>
  <c r="T5" i="8"/>
  <c r="T6" i="8"/>
  <c r="T7" i="8"/>
  <c r="T8" i="8"/>
  <c r="T9" i="8"/>
  <c r="T10" i="8"/>
  <c r="T11" i="8"/>
  <c r="T12" i="8"/>
  <c r="T13" i="8"/>
  <c r="T14" i="8"/>
  <c r="T15" i="8"/>
  <c r="T16" i="8"/>
  <c r="T17" i="8"/>
  <c r="T18" i="8"/>
  <c r="T19" i="8"/>
  <c r="T21" i="8"/>
  <c r="B3" i="1"/>
  <c r="C8" i="1"/>
  <c r="G8" i="1"/>
  <c r="C9" i="1"/>
  <c r="G9" i="1"/>
  <c r="C10" i="1"/>
  <c r="G10" i="1"/>
  <c r="C11" i="1"/>
  <c r="G11" i="1"/>
  <c r="C14" i="1"/>
  <c r="G16" i="1"/>
  <c r="G18" i="1"/>
  <c r="G21" i="1"/>
  <c r="C22" i="1"/>
  <c r="F45" i="1"/>
  <c r="A62" i="1"/>
  <c r="C49" i="1"/>
  <c r="B62" i="1"/>
</calcChain>
</file>

<file path=xl/sharedStrings.xml><?xml version="1.0" encoding="utf-8"?>
<sst xmlns="http://schemas.openxmlformats.org/spreadsheetml/2006/main" count="845" uniqueCount="471">
  <si>
    <t>California VirtuInsurance or VE Company</t>
  </si>
  <si>
    <t>California VirtuGasoline</t>
  </si>
  <si>
    <t>California VirtuRed Cross or Church</t>
  </si>
  <si>
    <t>MONTHLY GASOLINE COST</t>
  </si>
  <si>
    <t>GASOLINE  FOR CAR</t>
  </si>
  <si>
    <t>PHOTOGRAPHY/VIDEOGRAPHY</t>
  </si>
  <si>
    <t>ACCESSORIES</t>
  </si>
  <si>
    <t>INTERNET</t>
  </si>
  <si>
    <t>GYM FEES</t>
  </si>
  <si>
    <t>CHARITY/CHURCH</t>
  </si>
  <si>
    <t>BOOKS/MAGAZINES</t>
  </si>
  <si>
    <t>Real World Raffle</t>
    <phoneticPr fontId="26" type="noConversion"/>
  </si>
  <si>
    <t>Week Date</t>
    <phoneticPr fontId="26" type="noConversion"/>
  </si>
  <si>
    <t>1. RENT (OR MORTGAGE PAYMENT)</t>
    <phoneticPr fontId="26" type="noConversion"/>
  </si>
  <si>
    <t>2. HOMEOWNERS/RENTERS INSURANCE</t>
    <phoneticPr fontId="26" type="noConversion"/>
  </si>
  <si>
    <t>3. ELECTRICITY (UTILITY)</t>
    <phoneticPr fontId="26" type="noConversion"/>
  </si>
  <si>
    <t>4. GAS (UTILITY)</t>
    <phoneticPr fontId="26" type="noConversion"/>
  </si>
  <si>
    <t>Chief Marketing Officer (CMO)</t>
    <phoneticPr fontId="26" type="noConversion"/>
  </si>
  <si>
    <t>VP of Digital Media</t>
    <phoneticPr fontId="26" type="noConversion"/>
  </si>
  <si>
    <t>Director of Sales &amp; Marketing</t>
    <phoneticPr fontId="26" type="noConversion"/>
  </si>
  <si>
    <t>Digital Media Associate</t>
    <phoneticPr fontId="26" type="noConversion"/>
  </si>
  <si>
    <t>VP of Administration</t>
    <phoneticPr fontId="26" type="noConversion"/>
  </si>
  <si>
    <t>Director of Accounting</t>
  </si>
  <si>
    <t>Website Resources</t>
  </si>
  <si>
    <t>www.fueleconomy.gov</t>
  </si>
  <si>
    <t>www.orangecountygasprices.com</t>
  </si>
  <si>
    <t>FLEXIBLE MONTHLY LIVING EXPENSES</t>
  </si>
  <si>
    <t>Minimum spending</t>
  </si>
  <si>
    <t>=</t>
  </si>
  <si>
    <t>GAS PRICES/PER GALLON</t>
  </si>
  <si>
    <t xml:space="preserve">PERSONAL ITEMS </t>
  </si>
  <si>
    <t>GIFTS</t>
  </si>
  <si>
    <t>LEFT TO SPEND</t>
  </si>
  <si>
    <t>SPORTING EVENT</t>
  </si>
  <si>
    <t>VACATION</t>
  </si>
  <si>
    <t>MOVIES/THEATER</t>
  </si>
  <si>
    <t>OTHER:</t>
  </si>
  <si>
    <t>RENT APARTMENT/HOUSE</t>
  </si>
  <si>
    <t>MISCELLANEOUS</t>
  </si>
  <si>
    <t>REMAINING</t>
  </si>
  <si>
    <t>TOTAL EXPENSES</t>
  </si>
  <si>
    <t>RENT (OR MORTGAGE PAYMENT)</t>
  </si>
  <si>
    <t>INSURANCE PER PERSON</t>
  </si>
  <si>
    <t>MONTHLY RENT PER PESON</t>
  </si>
  <si>
    <t>PAYMENTS</t>
  </si>
  <si>
    <t>VEHCILE PAYMENT</t>
  </si>
  <si>
    <t>VEHICLE INSURANCE</t>
  </si>
  <si>
    <t>ADDITONAL if your vehicle is a motorcycle</t>
  </si>
  <si>
    <t>http://maps.google.com/</t>
    <phoneticPr fontId="26" type="noConversion"/>
  </si>
  <si>
    <t>GAS FOR CAR</t>
  </si>
  <si>
    <t>SUPPLIES</t>
  </si>
  <si>
    <t>DEPENDENT CARE COSTS</t>
  </si>
  <si>
    <t>CHILD ADDITIONS</t>
  </si>
  <si>
    <t>OCCUPANT  NAMES</t>
  </si>
  <si>
    <t>OCCUPANT NAMES</t>
  </si>
  <si>
    <t>EARTHQUAKE INSURANCE</t>
  </si>
  <si>
    <t>TOTAL HOME COST</t>
  </si>
  <si>
    <t>Personal Finance Sheet</t>
  </si>
  <si>
    <t>CHILD CARE</t>
  </si>
  <si>
    <t>OPTIONAL FIXED EXPENSES</t>
  </si>
  <si>
    <t>NUMBER OF CHILDREN</t>
  </si>
  <si>
    <t>Names Here</t>
    <phoneticPr fontId="26" type="noConversion"/>
  </si>
  <si>
    <t>Names Here</t>
    <phoneticPr fontId="26" type="noConversion"/>
  </si>
  <si>
    <t>YOUR NUMBER OF SICK DAYS USEABLE FOR YOU ARE REDUCED BY 3 FOR EACH CHILD YOU HAVE TO COVER CHILD EMERGENCIES</t>
  </si>
  <si>
    <t>HEALTH INSURANCE</t>
  </si>
  <si>
    <t>Virtual Bank or VE company</t>
  </si>
  <si>
    <t>MONTHLY PAYMENT FOR WEDDING LOAN</t>
  </si>
  <si>
    <t>MONTHLY FOOD  COSTS</t>
  </si>
  <si>
    <t>CLOTHING/SHOES/JEWELRY</t>
  </si>
  <si>
    <t>monthly payment</t>
  </si>
  <si>
    <t>INTERNET PER PERSON</t>
  </si>
  <si>
    <t>CABLE TV PER PERSON</t>
  </si>
  <si>
    <t>PERSONAL INFORMATION</t>
    <phoneticPr fontId="26" type="noConversion"/>
  </si>
  <si>
    <t>revision date</t>
    <phoneticPr fontId="26" type="noConversion"/>
  </si>
  <si>
    <t xml:space="preserve">Bride's Wedding Ring, Groom's Wedding Ring </t>
  </si>
  <si>
    <t>HIGH COST WEDDING</t>
  </si>
  <si>
    <t>MONTHLY ROOMATE COST</t>
  </si>
  <si>
    <t>TRANSPORTATION INFORMATION</t>
  </si>
  <si>
    <t>revised 10/6/11</t>
    <phoneticPr fontId="26" type="noConversion"/>
  </si>
  <si>
    <t>NUMBER OF PRE-TEENS</t>
  </si>
  <si>
    <t>CHILDCARE COSTS</t>
  </si>
  <si>
    <t xml:space="preserve">TOTALS </t>
  </si>
  <si>
    <t>Week 1</t>
    <phoneticPr fontId="26" type="noConversion"/>
  </si>
  <si>
    <t>Week 2</t>
    <phoneticPr fontId="26" type="noConversion"/>
  </si>
  <si>
    <t>Week 3</t>
    <phoneticPr fontId="26" type="noConversion"/>
  </si>
  <si>
    <t>Week 4</t>
    <phoneticPr fontId="26" type="noConversion"/>
  </si>
  <si>
    <t>Description- Pay as a separate item in the bank</t>
    <phoneticPr fontId="26" type="noConversion"/>
  </si>
  <si>
    <t>Amount</t>
    <phoneticPr fontId="26" type="noConversion"/>
  </si>
  <si>
    <t>WEEK 1</t>
    <phoneticPr fontId="26" type="noConversion"/>
  </si>
  <si>
    <t>WEEK 2</t>
    <phoneticPr fontId="26" type="noConversion"/>
  </si>
  <si>
    <t>WEEK 3</t>
  </si>
  <si>
    <t>WEEK 4</t>
  </si>
  <si>
    <t xml:space="preserve"> </t>
    <phoneticPr fontId="26" type="noConversion"/>
  </si>
  <si>
    <t>REAL WORLD RAFFLE</t>
    <phoneticPr fontId="26" type="noConversion"/>
  </si>
  <si>
    <t>12. HOUSEHOLD SUPPLIES</t>
    <phoneticPr fontId="26" type="noConversion"/>
  </si>
  <si>
    <t xml:space="preserve">Transportation to the Ceremony, Transportation to the Reception </t>
  </si>
  <si>
    <t>HEALTH CARE COSTS ARE INCREASED FOR EACH CHILD OR DEPENDANT - SPEAK TO YOUR HR DEPARTMENT FOR ADJUSTMENTS</t>
  </si>
  <si>
    <t>PRESCHOOL-CHILD</t>
  </si>
  <si>
    <t>ELEMENTARY CHILD</t>
  </si>
  <si>
    <t>Director of Human Resources</t>
  </si>
  <si>
    <t>Chief Operations Officer (COO)</t>
  </si>
  <si>
    <t>Chief Executive Officer (CEO)</t>
  </si>
  <si>
    <t>5. WATER (UTILITY)</t>
    <phoneticPr fontId="26" type="noConversion"/>
  </si>
  <si>
    <t>6. TELEPHONE (UTILITY)</t>
    <phoneticPr fontId="26" type="noConversion"/>
  </si>
  <si>
    <t>7. CABLE TV (UTILITY)</t>
    <phoneticPr fontId="26" type="noConversion"/>
  </si>
  <si>
    <t>8. CAR INSURANCE</t>
    <phoneticPr fontId="26" type="noConversion"/>
  </si>
  <si>
    <t>9. CAR PAYMENT</t>
    <phoneticPr fontId="26" type="noConversion"/>
  </si>
  <si>
    <t>10. FOOD</t>
    <phoneticPr fontId="26" type="noConversion"/>
  </si>
  <si>
    <t>11. GAS FOR CAR</t>
    <phoneticPr fontId="26" type="noConversion"/>
  </si>
  <si>
    <t>MOTORCYCLE INSURANCE</t>
  </si>
  <si>
    <t>MARRIED</t>
  </si>
  <si>
    <t>W/INFANT</t>
  </si>
  <si>
    <t>W/TODDLER</t>
  </si>
  <si>
    <t>W/CHILD</t>
  </si>
  <si>
    <t>W/TEEN</t>
  </si>
  <si>
    <t>Flexible Monthly Expenses-Areas below should change each month</t>
  </si>
  <si>
    <t>JEWELRY</t>
  </si>
  <si>
    <t>SHOES</t>
  </si>
  <si>
    <t>CLOTHING</t>
  </si>
  <si>
    <t>SEASONAL WEAR</t>
  </si>
  <si>
    <t>MONTHLY WATER COSTS</t>
  </si>
  <si>
    <t>TEEN IN HOME PHONE COSTS</t>
  </si>
  <si>
    <t>DEPENDENT ADDITIONS</t>
  </si>
  <si>
    <t>FIXED EXPENSES</t>
  </si>
  <si>
    <t>MONTHLY HOUSEHOLD SUPPLIES</t>
  </si>
  <si>
    <t>MONTHLY HEALTH INSURANCE</t>
  </si>
  <si>
    <t>MONTHLY ELECTRIC COSTS</t>
  </si>
  <si>
    <t>MONTHLY NET SALARY</t>
  </si>
  <si>
    <t>CITY INFO</t>
  </si>
  <si>
    <t>PREMIUM CHANNELS</t>
  </si>
  <si>
    <t>PREMIUM CHANNELS: HBO, SHOWTIME</t>
  </si>
  <si>
    <t>BUDGET - WHAT CAN I AFFORD</t>
  </si>
  <si>
    <t>MILES PER GALLON OF GAS</t>
  </si>
  <si>
    <t>AUTO INSURANCE</t>
  </si>
  <si>
    <t>MONTHLY GAS COST</t>
  </si>
  <si>
    <t>CHARGE IF BILLS NOT PAID</t>
  </si>
  <si>
    <t>NAME</t>
  </si>
  <si>
    <t>JOB TITLE</t>
  </si>
  <si>
    <t xml:space="preserve">Bouquets, Boutonnieres, Ceremony Flowers, Table Centerpieces </t>
  </si>
  <si>
    <t>TOTAL DEPENDANT COSTS</t>
  </si>
  <si>
    <t>HOMEOWNERS/RENTERS INSURANCE</t>
  </si>
  <si>
    <t>TERM OF LOAN ( IN MONTHS)</t>
    <phoneticPr fontId="26" type="noConversion"/>
  </si>
  <si>
    <t>CHILDREN</t>
    <phoneticPr fontId="26" type="noConversion"/>
  </si>
  <si>
    <t>NAME OF SPOUSE</t>
    <phoneticPr fontId="26" type="noConversion"/>
  </si>
  <si>
    <t>REFERENCE LINKS</t>
    <phoneticPr fontId="26" type="noConversion"/>
  </si>
  <si>
    <t>DETERMINE EACH CHILD INDEPENDENTLY AND ADD UP TOTALS TO ADJUST YOUR ITEMIZED FINANCE SHEET</t>
  </si>
  <si>
    <t>Wedding Ring</t>
  </si>
  <si>
    <t>YOU MAY TAKE OUT A LOAN FROM THE BANKER TO PAY OFF YOUR WEDDING.</t>
  </si>
  <si>
    <t xml:space="preserve">Bridal Dress, Tuxedos, Accessories </t>
  </si>
  <si>
    <t>ITEMIZED MONTHLY FINANCE SHEET</t>
  </si>
  <si>
    <t>CONCERT/EVENT</t>
  </si>
  <si>
    <t>Support -Hourly</t>
  </si>
  <si>
    <r>
      <t xml:space="preserve">BUS PASS </t>
    </r>
    <r>
      <rPr>
        <sz val="8"/>
        <rFont val="Geneva"/>
      </rPr>
      <t>(TEACHER PERMISSION)</t>
    </r>
  </si>
  <si>
    <t>BUS PASS (MUST HAVE TEACHER PERMISSION)</t>
  </si>
  <si>
    <t>MONTHLY DEPENDANT COSTS-HEALTH</t>
  </si>
  <si>
    <t>MONTHLY EMPLOYEE COST-HEALTH</t>
  </si>
  <si>
    <t>MONTHLY EMPLOYEE COST-DENTAL</t>
  </si>
  <si>
    <t>MONTHLY DEPENDANT COSTS-DENTAL</t>
  </si>
  <si>
    <t>MONTHLY EMPLOYEE COST-VISION</t>
  </si>
  <si>
    <t>MONTHLY DEPENDANT COSTS-VISION</t>
  </si>
  <si>
    <t>LOW RANGE</t>
  </si>
  <si>
    <t>HIGH RANGE</t>
  </si>
  <si>
    <t>-</t>
  </si>
  <si>
    <t xml:space="preserve"> </t>
  </si>
  <si>
    <t>YOUR COST</t>
  </si>
  <si>
    <t>MORTGAGE/RENTERS INSURANCE</t>
  </si>
  <si>
    <t>ELECTRICITY (UTILITY)</t>
  </si>
  <si>
    <t>GAS (UTILITY)</t>
  </si>
  <si>
    <t>WATER (UTILITY)</t>
  </si>
  <si>
    <t>TELEPHONE (UTILITY)</t>
  </si>
  <si>
    <t>CABLE TV (UTILITY)</t>
  </si>
  <si>
    <t>CAR INSURANCE</t>
  </si>
  <si>
    <t>FOOD</t>
  </si>
  <si>
    <t>SINGLE</t>
  </si>
  <si>
    <t>NUMBER OF INFANTS</t>
  </si>
  <si>
    <t>NUMBER OF TODDLERS</t>
  </si>
  <si>
    <t>NUMBER OF TEENS</t>
  </si>
  <si>
    <t xml:space="preserve">Wedding Favors, Gifts for the Female and Male Attendants </t>
  </si>
  <si>
    <t>NUMBER OF ADULTS</t>
  </si>
  <si>
    <t>fill in  yellow areas, pink will autofill</t>
  </si>
  <si>
    <t>FULL NAME</t>
  </si>
  <si>
    <t xml:space="preserve">Photographer, Videographer, Albums </t>
  </si>
  <si>
    <t xml:space="preserve">DJ's, String Quartet, Band </t>
  </si>
  <si>
    <t>4. THE MALE WILL BE REQUIRED TO PAY FOR THE ENGAGEMENT RING</t>
  </si>
  <si>
    <t>MARRIAGE</t>
  </si>
  <si>
    <t>WEDDING COSTS</t>
  </si>
  <si>
    <t>LOW COST WEDDING</t>
  </si>
  <si>
    <t>MEDIUM COST WEDDING</t>
  </si>
  <si>
    <t>RECEPTION</t>
  </si>
  <si>
    <t xml:space="preserve">Food, Drinks, Location Fee </t>
  </si>
  <si>
    <t>ATTIRE</t>
  </si>
  <si>
    <t>IT IS ASSUMED THAT YOU DO NOT HAVE ANY FAMILY THAT WILL HELP YOU IN THE AREA- YOU ARE ON YOUR OWN.</t>
  </si>
  <si>
    <t>OR</t>
  </si>
  <si>
    <t>YEAR</t>
  </si>
  <si>
    <t>INTEREST RATE</t>
  </si>
  <si>
    <t>Job Title</t>
  </si>
  <si>
    <t>TEEN DEPENDANT</t>
  </si>
  <si>
    <t>ENCLOSURES</t>
    <phoneticPr fontId="26" type="noConversion"/>
  </si>
  <si>
    <t>SUPPLIES</t>
    <phoneticPr fontId="26" type="noConversion"/>
  </si>
  <si>
    <t xml:space="preserve"> </t>
    <phoneticPr fontId="26" type="noConversion"/>
  </si>
  <si>
    <t>CATS</t>
    <phoneticPr fontId="26" type="noConversion"/>
  </si>
  <si>
    <t>DOGS</t>
    <phoneticPr fontId="26" type="noConversion"/>
  </si>
  <si>
    <t>FISH</t>
    <phoneticPr fontId="26" type="noConversion"/>
  </si>
  <si>
    <t>REPTILES</t>
    <phoneticPr fontId="26" type="noConversion"/>
  </si>
  <si>
    <t>BIRDS</t>
    <phoneticPr fontId="26" type="noConversion"/>
  </si>
  <si>
    <t>TOTALS</t>
    <phoneticPr fontId="26" type="noConversion"/>
  </si>
  <si>
    <t>CATS</t>
    <phoneticPr fontId="26" type="noConversion"/>
  </si>
  <si>
    <t>DOGS</t>
    <phoneticPr fontId="26" type="noConversion"/>
  </si>
  <si>
    <t>CRITTERS</t>
    <phoneticPr fontId="26" type="noConversion"/>
  </si>
  <si>
    <t>COST PER</t>
    <phoneticPr fontId="26" type="noConversion"/>
  </si>
  <si>
    <t>TOTAL COST PER MONTH FOR ALL PETS</t>
    <phoneticPr fontId="26" type="noConversion"/>
  </si>
  <si>
    <t>PETS</t>
    <phoneticPr fontId="26" type="noConversion"/>
  </si>
  <si>
    <t>REQUIRED NUMBER OF ROOMS OF RESIDENCE</t>
    <phoneticPr fontId="26" type="noConversion"/>
  </si>
  <si>
    <t>Marketing Associate</t>
    <phoneticPr fontId="26" type="noConversion"/>
  </si>
  <si>
    <t>Administrative Associate</t>
    <phoneticPr fontId="26" type="noConversion"/>
  </si>
  <si>
    <t>Human Resources Associate</t>
    <phoneticPr fontId="26" type="noConversion"/>
  </si>
  <si>
    <t>Accounting Associate</t>
    <phoneticPr fontId="26" type="noConversion"/>
  </si>
  <si>
    <t>-</t>
    <phoneticPr fontId="26" type="noConversion"/>
  </si>
  <si>
    <t>Real World Raffle - Pay to US Bank</t>
    <phoneticPr fontId="26" type="noConversion"/>
  </si>
  <si>
    <t>CEREMONY</t>
  </si>
  <si>
    <t xml:space="preserve">Ceremony Location Fees, Officiant's Fee or Donation </t>
  </si>
  <si>
    <t>TOTAL MONTHLY PAYMENT</t>
  </si>
  <si>
    <t>California VirtuCable</t>
  </si>
  <si>
    <t>IF YOU HAVE CHILDREN YOU WILL BE REQUIRED TO ADD THE FOLLOWING ADDITIONS EACH MONTH TO YOUR FINANCIAL COST</t>
  </si>
  <si>
    <t>INFANT</t>
  </si>
  <si>
    <t>IF YOU ARE SINGLE YOU WILL PAY ALL OF THESE COSTS, MARRIED COUPLES SPLIT THE COSTS</t>
  </si>
  <si>
    <t>GASOLINE</t>
  </si>
  <si>
    <t>3. YOU WILL BE REQUIRED TO PAY FOR YOUR OWN WEDDING FROM THE SELECTIONS BELOW</t>
  </si>
  <si>
    <t>VEHICLE MAKER</t>
  </si>
  <si>
    <t>OWN HOUSE</t>
  </si>
  <si>
    <t>MONTHLY PAYMENT</t>
  </si>
  <si>
    <t>TERM OF LOAN (MONTHS)</t>
  </si>
  <si>
    <t>EXTRA TRAVEL</t>
  </si>
  <si>
    <t>MUST HAVE 50.00 OR MORE LEFT IN REMAINING BOX ABOVE</t>
  </si>
  <si>
    <t>COMPANY NAME</t>
  </si>
  <si>
    <t>PRODUCT PURCHASED</t>
  </si>
  <si>
    <t>ENGAGEMENT RING  COST IS THE TOTAL OF ONE PAYCHECK (groom only)</t>
    <phoneticPr fontId="26" type="noConversion"/>
  </si>
  <si>
    <t>ENGAGEMENT RING MONTHLY COST-GROOM ONLY</t>
    <phoneticPr fontId="26" type="noConversion"/>
  </si>
  <si>
    <t>CITY, STATE, ZIP</t>
  </si>
  <si>
    <t>MILES TO CFFICE</t>
  </si>
  <si>
    <t xml:space="preserve">Marriage License, taxes, tips </t>
  </si>
  <si>
    <t>FLORAL/DECORATION</t>
  </si>
  <si>
    <t>FILL IN YELLOW AREAS THAT APPLY TO YOUR SITUATION, PINK WILL FILL AUTOMATICALLY</t>
  </si>
  <si>
    <t>GAS</t>
  </si>
  <si>
    <t>WATER</t>
  </si>
  <si>
    <t>ELECTRICITY</t>
  </si>
  <si>
    <t>MONTHLY GAS COSTS</t>
  </si>
  <si>
    <t>STATIONERY</t>
  </si>
  <si>
    <t>TOTAL  IF NOTHING PAID</t>
  </si>
  <si>
    <t>HOUSEHOLD SUPPLIES</t>
  </si>
  <si>
    <t>FOR THE MONTH OF</t>
  </si>
  <si>
    <t>TOTAL</t>
  </si>
  <si>
    <t>VirtuBank of California or VE company</t>
  </si>
  <si>
    <t>VirtuBank of California</t>
  </si>
  <si>
    <t>$6 PER MOVIE / $30 PER EVENT</t>
  </si>
  <si>
    <t>2 ADULTS</t>
  </si>
  <si>
    <t>3 ADULTS</t>
  </si>
  <si>
    <t>4 ADULTS</t>
  </si>
  <si>
    <t>1 ADULT</t>
  </si>
  <si>
    <t>LIVING SITUATION</t>
  </si>
  <si>
    <t>BASIC CABLE TV</t>
  </si>
  <si>
    <t>Bills for the MONTH of</t>
  </si>
  <si>
    <t>Notes:</t>
    <phoneticPr fontId="26" type="noConversion"/>
  </si>
  <si>
    <t xml:space="preserve"> </t>
    <phoneticPr fontId="26" type="noConversion"/>
  </si>
  <si>
    <t>COMPANY NAME</t>
    <phoneticPr fontId="26" type="noConversion"/>
  </si>
  <si>
    <t>PURCHASE 1</t>
    <phoneticPr fontId="26" type="noConversion"/>
  </si>
  <si>
    <t>PURCHASE 2</t>
  </si>
  <si>
    <t>PURCHASE 3</t>
  </si>
  <si>
    <t>PURCHASE 4</t>
  </si>
  <si>
    <t>VE COMPANY PURCHASES-20PTS EACH MONTH</t>
    <phoneticPr fontId="26" type="noConversion"/>
  </si>
  <si>
    <t>Assistants</t>
  </si>
  <si>
    <t>YEARLY RANGE FOR PAY</t>
  </si>
  <si>
    <t>www.bankrate.com</t>
  </si>
  <si>
    <t>REQUIRED FIXED MONTHLY LIVING EXPENSES</t>
  </si>
  <si>
    <t>BEDROOMS</t>
  </si>
  <si>
    <t>HOMEOWNERS INSURANCE</t>
  </si>
  <si>
    <t>ASSOCIATION FEES</t>
  </si>
  <si>
    <t>FIRE INSURANCE</t>
  </si>
  <si>
    <t>RECREATIONAL VEHICLE</t>
  </si>
  <si>
    <t>ELECTRONICS</t>
  </si>
  <si>
    <t>LODGING</t>
  </si>
  <si>
    <t>PAY TO…………</t>
  </si>
  <si>
    <t>COST</t>
  </si>
  <si>
    <t>MUSIC/VIDEO/DVD</t>
  </si>
  <si>
    <t>SPORTING GOODS</t>
  </si>
  <si>
    <t>CAR/TRUCK/MOTORCYCLE</t>
  </si>
  <si>
    <t>WATCHES</t>
  </si>
  <si>
    <t>COSMETICS</t>
  </si>
  <si>
    <t>MEDICAL</t>
  </si>
  <si>
    <t>EYE CARE</t>
  </si>
  <si>
    <t>VP Human Resources</t>
  </si>
  <si>
    <t>www.mapblast.com</t>
  </si>
  <si>
    <t>Find Number Miles From Work (Century High)</t>
  </si>
  <si>
    <t>MILES FROM CHS</t>
  </si>
  <si>
    <t>FAMILY UNIT</t>
  </si>
  <si>
    <t>DEPENDENT ADDITION</t>
  </si>
  <si>
    <t>APARTMENT, CONDO OR HOUSE</t>
    <phoneticPr fontId="26" type="noConversion"/>
  </si>
  <si>
    <t>WEDDING COSTS-SEE MARRIAGE TAB</t>
    <phoneticPr fontId="26" type="noConversion"/>
  </si>
  <si>
    <t xml:space="preserve">PURCHASE PRICE IF YOU OWN </t>
    <phoneticPr fontId="26" type="noConversion"/>
  </si>
  <si>
    <t>TRANSPORTATION</t>
    <phoneticPr fontId="26" type="noConversion"/>
  </si>
  <si>
    <t>DOUBLE PHONE BILL, CAR INSURANCE</t>
  </si>
  <si>
    <t>VEHICLE MODEL</t>
  </si>
  <si>
    <t>CHILDCARE</t>
  </si>
  <si>
    <t>WEDDING COST</t>
  </si>
  <si>
    <t>TOTAL FIXED EXPENSES</t>
  </si>
  <si>
    <t>W/PRE-TEEN</t>
  </si>
  <si>
    <t>GASOLINE ADDITION</t>
  </si>
  <si>
    <t>Average Gas Prices for Orange County</t>
  </si>
  <si>
    <t>ENTERTAINMENT</t>
  </si>
  <si>
    <t>INVESTMENTS</t>
  </si>
  <si>
    <t xml:space="preserve">Wedding Invitations, RSVP Cards, Thank You Cards </t>
  </si>
  <si>
    <t>RINGS</t>
  </si>
  <si>
    <t xml:space="preserve">% </t>
  </si>
  <si>
    <t>HOUSING-TRANSPORTATION SHEET</t>
  </si>
  <si>
    <t>Find Your Miles Per Gallon-Gasoline</t>
  </si>
  <si>
    <t>Find Your Vehicle Monthly Payment</t>
  </si>
  <si>
    <t>PAY PER VIEW</t>
  </si>
  <si>
    <t>CELL PHONE</t>
  </si>
  <si>
    <t>DINING OUT</t>
  </si>
  <si>
    <t>TRAVELING</t>
  </si>
  <si>
    <t>AFFORDABILITY</t>
  </si>
  <si>
    <t>HOUSING INFORMATION</t>
  </si>
  <si>
    <t>ADDRESS</t>
  </si>
  <si>
    <t>CITY</t>
  </si>
  <si>
    <t>PRE-TEEN</t>
  </si>
  <si>
    <t>TEEN</t>
  </si>
  <si>
    <t>Don’t not pay, deducted from payroll monthly</t>
    <phoneticPr fontId="26" type="noConversion"/>
  </si>
  <si>
    <t>Credit Card Purchases - Pay to US Bank</t>
    <phoneticPr fontId="26" type="noConversion"/>
  </si>
  <si>
    <t>California VirtuGas</t>
  </si>
  <si>
    <t>California VirtuWater</t>
  </si>
  <si>
    <t>California VirtuTelephone</t>
  </si>
  <si>
    <t>California VirtuInternet</t>
  </si>
  <si>
    <t>California VirtuElectric</t>
  </si>
  <si>
    <t>MONTHLY INSURANCE TOTAL</t>
    <phoneticPr fontId="26" type="noConversion"/>
  </si>
  <si>
    <t>TOTAL EMPLOYEE COSTS</t>
    <phoneticPr fontId="26" type="noConversion"/>
  </si>
  <si>
    <t>Chief Financial Officer (CFO)</t>
  </si>
  <si>
    <t>TRANSPORTATION</t>
  </si>
  <si>
    <t xml:space="preserve"> </t>
    <phoneticPr fontId="26" type="noConversion"/>
  </si>
  <si>
    <t>5. YOU WILL BE REQUIRED TO A HONEYMOON THAT MUST BE BOOKED THROUGH A VIRTUAL TRAVEL COMPANY FOR 3 DAYS OF MORE</t>
  </si>
  <si>
    <t>DEPENDANTS</t>
  </si>
  <si>
    <t>ESTIMATED NET PAY PER CHECK</t>
    <phoneticPr fontId="26" type="noConversion"/>
  </si>
  <si>
    <t>CABLE TV &amp; INTERNET (UTILITY)</t>
    <phoneticPr fontId="16"/>
  </si>
  <si>
    <t xml:space="preserve"> </t>
    <phoneticPr fontId="16"/>
  </si>
  <si>
    <t xml:space="preserve"> </t>
    <phoneticPr fontId="26" type="noConversion"/>
  </si>
  <si>
    <t xml:space="preserve"> </t>
    <phoneticPr fontId="26" type="noConversion"/>
  </si>
  <si>
    <t xml:space="preserve"> </t>
    <phoneticPr fontId="26" type="noConversion"/>
  </si>
  <si>
    <t>PETS</t>
    <phoneticPr fontId="26" type="noConversion"/>
  </si>
  <si>
    <t>FISH TANKS</t>
    <phoneticPr fontId="26" type="noConversion"/>
  </si>
  <si>
    <t>REPTILES</t>
    <phoneticPr fontId="26" type="noConversion"/>
  </si>
  <si>
    <t>BIRDS</t>
    <phoneticPr fontId="26" type="noConversion"/>
  </si>
  <si>
    <t>Total Pets</t>
    <phoneticPr fontId="26" type="noConversion"/>
  </si>
  <si>
    <t>Children</t>
    <phoneticPr fontId="26" type="noConversion"/>
  </si>
  <si>
    <t>Pets</t>
    <phoneticPr fontId="26" type="noConversion"/>
  </si>
  <si>
    <t>PET FOOD</t>
    <phoneticPr fontId="26" type="noConversion"/>
  </si>
  <si>
    <t>TOYS</t>
    <phoneticPr fontId="26" type="noConversion"/>
  </si>
  <si>
    <t>MONTHLY GROSS PAY RANGES</t>
    <phoneticPr fontId="26" type="noConversion"/>
  </si>
  <si>
    <t>MONTHLY NET PAY RANGES</t>
    <phoneticPr fontId="26" type="noConversion"/>
  </si>
  <si>
    <t>-</t>
    <phoneticPr fontId="26" type="noConversion"/>
  </si>
  <si>
    <t>-</t>
    <phoneticPr fontId="26" type="noConversion"/>
  </si>
  <si>
    <t>Company Leadership can not live with associates unless they are married</t>
    <phoneticPr fontId="26" type="noConversion"/>
  </si>
  <si>
    <t>monthly cost</t>
    <phoneticPr fontId="26" type="noConversion"/>
  </si>
  <si>
    <t>FLEXIBLE MONTHLY LIVING EXPENSES</t>
    <phoneticPr fontId="26" type="noConversion"/>
  </si>
  <si>
    <t>REMAINING LEFT FOR SAVINGS</t>
    <phoneticPr fontId="26" type="noConversion"/>
  </si>
  <si>
    <t>TOTAL</t>
    <phoneticPr fontId="26" type="noConversion"/>
  </si>
  <si>
    <t>TOTAL EXPENSES FOR THE MONTH</t>
    <phoneticPr fontId="26" type="noConversion"/>
  </si>
  <si>
    <t>VE PURCHASES- purchase from 4 different companies each month-20pts</t>
    <phoneticPr fontId="26" type="noConversion"/>
  </si>
  <si>
    <t>Attach the raffle slips to the back of this sheet 20pts</t>
    <phoneticPr fontId="26" type="noConversion"/>
  </si>
  <si>
    <t>YOUR MONTHLY PAYMENT</t>
    <phoneticPr fontId="26" type="noConversion"/>
  </si>
  <si>
    <t xml:space="preserve">INTEREST RATE </t>
    <phoneticPr fontId="26" type="noConversion"/>
  </si>
  <si>
    <t>MONTHLY GASOLINE COSTS</t>
    <phoneticPr fontId="26" type="noConversion"/>
  </si>
  <si>
    <t>VEHICLE INSURANCE COST-MONTHLY</t>
    <phoneticPr fontId="26" type="noConversion"/>
  </si>
  <si>
    <t xml:space="preserve"> </t>
    <phoneticPr fontId="26" type="noConversion"/>
  </si>
  <si>
    <t xml:space="preserve"> </t>
    <phoneticPr fontId="26" type="noConversion"/>
  </si>
  <si>
    <t>Average Gas Prices for Orange County CLICK HERE   ----&gt;</t>
    <phoneticPr fontId="26" type="noConversion"/>
  </si>
  <si>
    <t>Find Number Miles From Work (Century High) CLICK HERE   ----&gt;</t>
    <phoneticPr fontId="26" type="noConversion"/>
  </si>
  <si>
    <t>IF YOU CHOOSE TO BE MARRIED IN THE FINANCES SIMULATION YOU WILL BE REQUIRED TO DO THE FOLLOWING ITEMS:</t>
  </si>
  <si>
    <t>1. FILE INCOME TAXES JOINTLY AS A MARRIED COUPLE</t>
  </si>
  <si>
    <t>BIRTHDAY</t>
  </si>
  <si>
    <t>HOLIDAY</t>
  </si>
  <si>
    <t>SPECIAL EVENT</t>
  </si>
  <si>
    <t>MISHAP</t>
  </si>
  <si>
    <t>HOME REPAIR</t>
  </si>
  <si>
    <t>AUTO REPAIR</t>
  </si>
  <si>
    <t>FURNITURE</t>
  </si>
  <si>
    <t>COMPUTER</t>
  </si>
  <si>
    <t>ESTIMATED GROSS PAY PER CHECK</t>
  </si>
  <si>
    <t>TOTAL DEPENDENTS</t>
  </si>
  <si>
    <t>MARITAL STATUS</t>
  </si>
  <si>
    <t>&lt;-- SELECT ONE</t>
  </si>
  <si>
    <t>SPOUSE'S JOB</t>
  </si>
  <si>
    <t>SOCIAL SECURITY NUMBER</t>
  </si>
  <si>
    <r>
      <t>ADDIT</t>
    </r>
    <r>
      <rPr>
        <sz val="9"/>
        <rFont val="Geneva"/>
      </rPr>
      <t>I</t>
    </r>
    <r>
      <rPr>
        <sz val="9"/>
        <rFont val="Geneva"/>
      </rPr>
      <t>ON FOR MOTORCYCLE</t>
    </r>
  </si>
  <si>
    <t>MINIMUM HONEYMOON BUDGET COSTS</t>
  </si>
  <si>
    <t>Children</t>
  </si>
  <si>
    <t>Pets</t>
  </si>
  <si>
    <t>Type in the amount in the pink box if you ride</t>
  </si>
  <si>
    <t>PETS</t>
  </si>
  <si>
    <t>TOTAL MONTHLY  RENT PAYMENT</t>
  </si>
  <si>
    <t>MONTHLY MORTGAGE PAYMENT</t>
  </si>
  <si>
    <t>FOR  RENTING A N APARTMENT, CONDO OR HOUSE</t>
  </si>
  <si>
    <t>RENTERS INSURANCE</t>
  </si>
  <si>
    <r>
      <t>LEFT TO SPEND</t>
    </r>
    <r>
      <rPr>
        <sz val="9"/>
        <rFont val="Geneva"/>
      </rPr>
      <t xml:space="preserve">                    </t>
    </r>
    <r>
      <rPr>
        <sz val="8"/>
        <rFont val="Geneva"/>
      </rPr>
      <t>must be below $10.00, For each 10.00 you will get a -1 deduction on your grade.This amount should be different every month</t>
    </r>
    <r>
      <rPr>
        <sz val="9"/>
        <rFont val="Geneva"/>
      </rPr>
      <t xml:space="preserve"> </t>
    </r>
  </si>
  <si>
    <t>FINAL VEHICLE COST</t>
  </si>
  <si>
    <t>REVISED 10/14/13</t>
  </si>
  <si>
    <t>TRANSPORTATION</t>
    <phoneticPr fontId="0" type="noConversion"/>
  </si>
  <si>
    <t>First Name</t>
  </si>
  <si>
    <t>Last Name</t>
  </si>
  <si>
    <r>
      <rPr>
        <b/>
        <sz val="12"/>
        <color theme="1"/>
        <rFont val="Calibri"/>
        <family val="2"/>
        <scheme val="minor"/>
      </rPr>
      <t>STEP 1</t>
    </r>
    <r>
      <rPr>
        <sz val="9"/>
        <rFont val="Geneva"/>
      </rPr>
      <t>: Your first step in this process is to look for a car that you would like to buy, use the table below to get the price range you can afford based on your position in the company and your estimated salary. Use those numbers when looking for you vehicle on the internet.</t>
    </r>
  </si>
  <si>
    <t>Term of Loan</t>
  </si>
  <si>
    <t>Chief Officer</t>
  </si>
  <si>
    <t>Department Leaders</t>
  </si>
  <si>
    <t>Associates</t>
  </si>
  <si>
    <t>36 months</t>
  </si>
  <si>
    <t>48 months</t>
  </si>
  <si>
    <t>60 months</t>
  </si>
  <si>
    <t>Monthly Lease Rate</t>
  </si>
  <si>
    <t>Make of the Vehicle</t>
  </si>
  <si>
    <t>License Fee</t>
  </si>
  <si>
    <t>Model of the Vehicle</t>
  </si>
  <si>
    <t>Vehicle Registration</t>
  </si>
  <si>
    <t>Model Year</t>
  </si>
  <si>
    <t>Sales  Tax</t>
  </si>
  <si>
    <t>Price of the Vehicle</t>
  </si>
  <si>
    <t>Final Vehicle Cost</t>
  </si>
  <si>
    <t>http://www.bankrate.com/calculators/auto/auto-loan-calculator.aspx</t>
  </si>
  <si>
    <t>Term of loan in Months</t>
  </si>
  <si>
    <t>Interest Rate</t>
  </si>
  <si>
    <t>Monthly Payment</t>
  </si>
  <si>
    <r>
      <rPr>
        <b/>
        <sz val="12"/>
        <color theme="1"/>
        <rFont val="Calibri"/>
        <family val="2"/>
        <scheme val="minor"/>
      </rPr>
      <t>STEP 2</t>
    </r>
    <r>
      <rPr>
        <sz val="9"/>
        <rFont val="Geneva"/>
      </rPr>
      <t xml:space="preserve">: Finding your car on the internet. If you want to buy a new car you can check the dealer web sites. There you will find new cars to buy or lease or maybe some preowned vehicles. If you are looking for used cars many dealers have them advertised or you can check  www.autotrader.com  this web site has dealer and private party vehicles for sale. When you find the vehicle in your price range  that you want. move down to the next section and record the information in the </t>
    </r>
    <r>
      <rPr>
        <b/>
        <sz val="9"/>
        <rFont val="Geneva"/>
      </rPr>
      <t>YELLOW</t>
    </r>
    <r>
      <rPr>
        <sz val="9"/>
        <rFont val="Geneva"/>
      </rPr>
      <t xml:space="preserve"> cells. The final price for the vehicles after tax and licensing will apear in the </t>
    </r>
    <r>
      <rPr>
        <b/>
        <sz val="9"/>
        <rFont val="Geneva"/>
      </rPr>
      <t>Final Vehicle Cost</t>
    </r>
  </si>
  <si>
    <t>VEHICLE MAKE</t>
  </si>
  <si>
    <t xml:space="preserve">YEAR </t>
  </si>
  <si>
    <t xml:space="preserve">Directions: Complete each section of this vehicle purchase sheet </t>
  </si>
  <si>
    <t>STEP 4: Daily driving mileage will determine how much you spend each monthly on fuel for your vehicle. Use the section below to calculate how much you will be spending on fuel each month. Your fuel cost will depend on the type of fuel you use and the vehicle you will be driving.</t>
  </si>
  <si>
    <t>MPG</t>
  </si>
  <si>
    <t>COMBINED</t>
  </si>
  <si>
    <t>HIGHWAY</t>
  </si>
  <si>
    <r>
      <t xml:space="preserve">Find Your COMBINED Miles Per Gallon (MPG) for the vehicle you purchased above. "Find a Car" when you get to the web site and select you make model and year. Record what you find below : </t>
    </r>
    <r>
      <rPr>
        <b/>
        <sz val="10"/>
        <color rgb="FFFF0000"/>
        <rFont val="Geneva"/>
      </rPr>
      <t>CLICK THE LINK HERE</t>
    </r>
    <r>
      <rPr>
        <sz val="10"/>
        <color rgb="FFFF0000"/>
        <rFont val="Geneva"/>
      </rPr>
      <t xml:space="preserve">   ----&gt;</t>
    </r>
  </si>
  <si>
    <r>
      <rPr>
        <b/>
        <sz val="12"/>
        <color theme="1"/>
        <rFont val="Calibri"/>
        <family val="2"/>
        <scheme val="minor"/>
      </rPr>
      <t>STEP 3</t>
    </r>
    <r>
      <rPr>
        <sz val="9"/>
        <rFont val="Geneva"/>
      </rPr>
      <t xml:space="preserve">: Financing the vehicle. For most of us we don’t just drop the full amount for the cost of a car down when we buy it. Most times we get a car loan and pay the car off over time. For new cars you can buy or some people just lease cars and never own them, they essentially rent the vehicle for as long as they want to drive it. If you choose to buy the car, whether it is new or used you will need to apply for a car loan. With any loan you make monthly payments over time to eventually own the vehicle. You will need to find the loan payemnt for your vehicle by using a auto loan calculator below. Use the </t>
    </r>
    <r>
      <rPr>
        <b/>
        <sz val="12"/>
        <color theme="1"/>
        <rFont val="Calibri"/>
        <family val="2"/>
        <scheme val="minor"/>
      </rPr>
      <t>Final Vehicle Cost</t>
    </r>
    <r>
      <rPr>
        <sz val="9"/>
        <rFont val="Geneva"/>
      </rPr>
      <t xml:space="preserve"> to calculate your monthly payment. Record the information from the calculator into the YELLOW cells below.</t>
    </r>
  </si>
  <si>
    <t>FUEL COST COMPARISON</t>
  </si>
  <si>
    <t>ELECTRIC</t>
  </si>
  <si>
    <t>NATURAL GAS</t>
  </si>
  <si>
    <t>What you would pay monthly based on 15 mile drive to work at a cost of 3.75 gallon for gasoline</t>
  </si>
  <si>
    <t>Now that you have completed the vehicle purchase, your data has transferred to the INFORMATION tab.</t>
  </si>
  <si>
    <t>CURRENT GAS PRICE/PER GALLON</t>
  </si>
  <si>
    <t>MONTHLY GROSS PAY</t>
  </si>
  <si>
    <t>MONTHLY NET PAY</t>
  </si>
  <si>
    <t>PAYCHECK GROSS PAY</t>
  </si>
  <si>
    <t>PAYCHECK NET PAY</t>
  </si>
  <si>
    <r>
      <t xml:space="preserve">HEALTH CARE </t>
    </r>
    <r>
      <rPr>
        <b/>
        <sz val="9"/>
        <color theme="0"/>
        <rFont val="Geneva"/>
      </rPr>
      <t>( THIS WILL BE COMPLETED WHEN A BENEFIT PLAN HAS BEEN ESTABLISHED)</t>
    </r>
  </si>
  <si>
    <t>COMPLETE VE PURCHASES AND TURN IN TO INSTRUCTOR        PINK BOXES WILL AUTOFILL FROM YOUR ITEMIZED SHEET</t>
  </si>
  <si>
    <t>YEAR OF BIRTH</t>
  </si>
  <si>
    <t>ID NUMBER</t>
  </si>
  <si>
    <t>revised 11/3/13</t>
  </si>
  <si>
    <t>Complete this sheet each month for your Monthly Personal Finances</t>
  </si>
  <si>
    <t>SPOUSE'S YEARLY INCOME</t>
  </si>
  <si>
    <t>Director of  Digital Media</t>
  </si>
  <si>
    <r>
      <t xml:space="preserve">locate your job title to the left and use the numbers in </t>
    </r>
    <r>
      <rPr>
        <b/>
        <sz val="9"/>
        <color rgb="FFFF0000"/>
        <rFont val="Geneva"/>
      </rPr>
      <t>RED</t>
    </r>
    <r>
      <rPr>
        <b/>
        <sz val="9"/>
        <rFont val="Geneva"/>
      </rPr>
      <t xml:space="preserve"> bold</t>
    </r>
    <r>
      <rPr>
        <sz val="9"/>
        <rFont val="Geneva"/>
      </rPr>
      <t xml:space="preserve"> to the right in this area for the estimated paycheck net pay on your information tab</t>
    </r>
  </si>
  <si>
    <r>
      <t>locate your job title to the left and use the numbers in</t>
    </r>
    <r>
      <rPr>
        <b/>
        <sz val="9"/>
        <rFont val="Geneva"/>
      </rPr>
      <t xml:space="preserve"> </t>
    </r>
    <r>
      <rPr>
        <b/>
        <sz val="9"/>
        <color rgb="FFFF0000"/>
        <rFont val="Geneva"/>
      </rPr>
      <t>RED</t>
    </r>
    <r>
      <rPr>
        <b/>
        <sz val="9"/>
        <rFont val="Geneva"/>
      </rPr>
      <t xml:space="preserve"> bold</t>
    </r>
    <r>
      <rPr>
        <sz val="9"/>
        <rFont val="Geneva"/>
      </rPr>
      <t xml:space="preserve"> to the right in this area for the estimated paycheck gross  pay on your information tab</t>
    </r>
  </si>
  <si>
    <t>2. ONLY LEGAL MARRIAGE RECOGNIZED BY THE STATE ARE ALLOWED</t>
  </si>
  <si>
    <t>groom record here --&gt;</t>
  </si>
  <si>
    <t>OTHER SMART TECHNOLOGY SERVICE</t>
  </si>
  <si>
    <t>Complete this sheet if you have a spouse that does not work for a virtual company</t>
  </si>
  <si>
    <t>Spouse Finance Sheet</t>
  </si>
  <si>
    <t>Credit Card Purchases</t>
  </si>
  <si>
    <t>SPOUSE COST</t>
  </si>
  <si>
    <t>If you have a virtual spouse and the spouse is working, then you will need to complete this sheet each personal finance cycle and turn it in with your own sheets</t>
  </si>
  <si>
    <r>
      <t xml:space="preserve">TRANSPORTATION </t>
    </r>
    <r>
      <rPr>
        <b/>
        <sz val="9"/>
        <rFont val="Geneva"/>
      </rPr>
      <t>(provide the information to purchase a vehicle for your spouse in the spaces below)</t>
    </r>
  </si>
  <si>
    <t>fill in all yellow areas only to see what you can afford</t>
  </si>
  <si>
    <t>In the yellow boxes below, test out numbers to see what you can afford to live on comfortably. You the Afforability ranges to gage how much you can comfotably spend for each area in your virtual life. Follow the steps below before to finalize your residence and vehicle so that you know that they are affordable</t>
  </si>
  <si>
    <t xml:space="preserve">CAR PAYMENT </t>
  </si>
  <si>
    <r>
      <rPr>
        <b/>
        <sz val="11"/>
        <rFont val="Arial"/>
      </rPr>
      <t>Step 1</t>
    </r>
    <r>
      <rPr>
        <sz val="11"/>
        <rFont val="Arial"/>
      </rPr>
      <t xml:space="preserve">: Find your monthly salary at the salary tab, in center right record the number of  children you want                                                                              </t>
    </r>
    <r>
      <rPr>
        <b/>
        <sz val="11"/>
        <rFont val="Arial"/>
      </rPr>
      <t>Step 2</t>
    </r>
    <r>
      <rPr>
        <sz val="11"/>
        <rFont val="Arial"/>
      </rPr>
      <t xml:space="preserve">: Look at the affordability range for rent and vehicle payment and start testing numbers the cells.         </t>
    </r>
    <r>
      <rPr>
        <b/>
        <sz val="11"/>
        <rFont val="Arial"/>
      </rPr>
      <t>Step 3</t>
    </r>
    <r>
      <rPr>
        <sz val="11"/>
        <rFont val="Arial"/>
      </rPr>
      <t xml:space="preserve">: When both numbers are in and the remaining box at the bottom says </t>
    </r>
    <r>
      <rPr>
        <b/>
        <sz val="11"/>
        <rFont val="Arial"/>
      </rPr>
      <t>GOOD</t>
    </r>
    <r>
      <rPr>
        <sz val="11"/>
        <rFont val="Arial"/>
      </rPr>
      <t>, then you are ready to complete the INFORMATION TAB</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</si>
</sst>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64" formatCode="&quot;$&quot;#,##0.00"/>
  </numFmts>
  <fonts count="52" x14ac:knownFonts="1">
    <font>
      <sz val="9"/>
      <name val="Geneva"/>
    </font>
    <font>
      <sz val="12"/>
      <color theme="1"/>
      <name val="Calibri"/>
      <family val="2"/>
      <scheme val="minor"/>
    </font>
    <font>
      <b/>
      <sz val="9"/>
      <name val="Geneva"/>
    </font>
    <font>
      <i/>
      <sz val="9"/>
      <name val="Geneva"/>
    </font>
    <font>
      <sz val="9"/>
      <name val="Geneva"/>
    </font>
    <font>
      <b/>
      <sz val="12"/>
      <name val="Arial"/>
    </font>
    <font>
      <sz val="9"/>
      <name val="Arial"/>
    </font>
    <font>
      <b/>
      <sz val="24"/>
      <name val="Arial"/>
    </font>
    <font>
      <b/>
      <sz val="9"/>
      <name val="Arial"/>
    </font>
    <font>
      <sz val="12"/>
      <name val="Arial"/>
    </font>
    <font>
      <b/>
      <sz val="10"/>
      <name val="Arial"/>
      <family val="2"/>
    </font>
    <font>
      <sz val="10"/>
      <name val="Geneva"/>
    </font>
    <font>
      <sz val="9"/>
      <name val="Geneva"/>
    </font>
    <font>
      <u/>
      <sz val="9"/>
      <color indexed="12"/>
      <name val="Geneva"/>
    </font>
    <font>
      <sz val="12"/>
      <name val="Geneva"/>
    </font>
    <font>
      <b/>
      <sz val="12"/>
      <name val="Geneva"/>
    </font>
    <font>
      <sz val="8"/>
      <name val="Geneva"/>
    </font>
    <font>
      <sz val="10"/>
      <name val="Arial"/>
    </font>
    <font>
      <sz val="7"/>
      <name val="Geneva"/>
    </font>
    <font>
      <sz val="24"/>
      <name val="Geneva"/>
    </font>
    <font>
      <b/>
      <sz val="14"/>
      <name val="Geneva"/>
    </font>
    <font>
      <b/>
      <sz val="24"/>
      <name val="Geneva"/>
    </font>
    <font>
      <sz val="18"/>
      <name val="Geneva"/>
    </font>
    <font>
      <b/>
      <sz val="14"/>
      <name val="Arial"/>
    </font>
    <font>
      <sz val="14"/>
      <name val="Arial"/>
    </font>
    <font>
      <sz val="9"/>
      <color indexed="9"/>
      <name val="Geneva"/>
    </font>
    <font>
      <sz val="8"/>
      <name val="Verdana"/>
    </font>
    <font>
      <sz val="8"/>
      <name val="Arial"/>
    </font>
    <font>
      <b/>
      <sz val="10"/>
      <name val="Geneva"/>
    </font>
    <font>
      <sz val="10"/>
      <color indexed="9"/>
      <name val="Arial"/>
    </font>
    <font>
      <b/>
      <sz val="11"/>
      <name val="Geneva"/>
    </font>
    <font>
      <sz val="11"/>
      <name val="Geneva"/>
    </font>
    <font>
      <sz val="14"/>
      <color indexed="10"/>
      <name val="Geneva"/>
    </font>
    <font>
      <sz val="14"/>
      <color indexed="9"/>
      <name val="Geneva"/>
    </font>
    <font>
      <sz val="9"/>
      <color indexed="10"/>
      <name val="Geneva"/>
    </font>
    <font>
      <b/>
      <sz val="8"/>
      <name val="Arial"/>
    </font>
    <font>
      <u/>
      <sz val="9"/>
      <color theme="11"/>
      <name val="Geneva"/>
    </font>
    <font>
      <sz val="12"/>
      <color rgb="FF006100"/>
      <name val="Calibri"/>
      <family val="2"/>
      <scheme val="minor"/>
    </font>
    <font>
      <sz val="12"/>
      <color rgb="FF9C0006"/>
      <name val="Calibri"/>
      <family val="2"/>
      <scheme val="minor"/>
    </font>
    <font>
      <sz val="12"/>
      <color rgb="FF9C6500"/>
      <name val="Calibri"/>
      <family val="2"/>
      <scheme val="minor"/>
    </font>
    <font>
      <b/>
      <sz val="12"/>
      <color theme="1"/>
      <name val="Calibri"/>
      <family val="2"/>
      <scheme val="minor"/>
    </font>
    <font>
      <sz val="12"/>
      <color theme="0"/>
      <name val="Calibri"/>
      <family val="2"/>
      <scheme val="minor"/>
    </font>
    <font>
      <u/>
      <sz val="12"/>
      <color theme="10"/>
      <name val="Calibri"/>
      <family val="2"/>
      <scheme val="minor"/>
    </font>
    <font>
      <sz val="10"/>
      <color rgb="FFFF0000"/>
      <name val="Geneva"/>
    </font>
    <font>
      <b/>
      <sz val="10"/>
      <color rgb="FFFF0000"/>
      <name val="Geneva"/>
    </font>
    <font>
      <b/>
      <sz val="9"/>
      <color theme="0"/>
      <name val="Geneva"/>
    </font>
    <font>
      <b/>
      <sz val="6"/>
      <name val="Arial"/>
    </font>
    <font>
      <b/>
      <sz val="12"/>
      <color rgb="FFFF0000"/>
      <name val="Arial"/>
    </font>
    <font>
      <b/>
      <sz val="9"/>
      <color rgb="FFFF0000"/>
      <name val="Geneva"/>
    </font>
    <font>
      <sz val="24"/>
      <name val="Arial"/>
    </font>
    <font>
      <sz val="11"/>
      <name val="Arial"/>
    </font>
    <font>
      <b/>
      <sz val="11"/>
      <name val="Arial"/>
    </font>
  </fonts>
  <fills count="32">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26"/>
        <bgColor indexed="64"/>
      </patternFill>
    </fill>
    <fill>
      <patternFill patternType="solid">
        <fgColor indexed="44"/>
        <bgColor indexed="64"/>
      </patternFill>
    </fill>
    <fill>
      <patternFill patternType="solid">
        <fgColor indexed="47"/>
        <bgColor indexed="64"/>
      </patternFill>
    </fill>
    <fill>
      <patternFill patternType="solid">
        <fgColor indexed="41"/>
        <bgColor indexed="64"/>
      </patternFill>
    </fill>
    <fill>
      <patternFill patternType="solid">
        <fgColor indexed="27"/>
        <bgColor indexed="64"/>
      </patternFill>
    </fill>
    <fill>
      <patternFill patternType="solid">
        <fgColor indexed="40"/>
        <bgColor indexed="64"/>
      </patternFill>
    </fill>
    <fill>
      <patternFill patternType="solid">
        <fgColor indexed="31"/>
        <bgColor indexed="64"/>
      </patternFill>
    </fill>
    <fill>
      <patternFill patternType="solid">
        <fgColor indexed="10"/>
        <bgColor indexed="64"/>
      </patternFill>
    </fill>
    <fill>
      <patternFill patternType="solid">
        <fgColor indexed="11"/>
        <bgColor indexed="64"/>
      </patternFill>
    </fill>
    <fill>
      <patternFill patternType="solid">
        <fgColor indexed="22"/>
        <bgColor indexed="64"/>
      </patternFill>
    </fill>
    <fill>
      <patternFill patternType="solid">
        <fgColor indexed="46"/>
        <bgColor indexed="64"/>
      </patternFill>
    </fill>
    <fill>
      <patternFill patternType="solid">
        <fgColor indexed="13"/>
        <bgColor indexed="64"/>
      </patternFill>
    </fill>
    <fill>
      <patternFill patternType="solid">
        <fgColor indexed="15"/>
        <bgColor indexed="64"/>
      </patternFill>
    </fill>
    <fill>
      <patternFill patternType="solid">
        <fgColor rgb="FFCCFFCC"/>
        <bgColor indexed="64"/>
      </patternFill>
    </fill>
    <fill>
      <patternFill patternType="solid">
        <fgColor rgb="FFFFFF99"/>
        <bgColor indexed="64"/>
      </patternFill>
    </fill>
    <fill>
      <patternFill patternType="solid">
        <fgColor rgb="FFFFFF00"/>
        <bgColor indexed="64"/>
      </patternFill>
    </fill>
    <fill>
      <patternFill patternType="solid">
        <fgColor rgb="FFFF99CC"/>
        <bgColor rgb="FF000000"/>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99"/>
        <bgColor rgb="FF000000"/>
      </patternFill>
    </fill>
  </fills>
  <borders count="2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style="double">
        <color auto="1"/>
      </top>
      <bottom/>
      <diagonal/>
    </border>
    <border>
      <left/>
      <right/>
      <top style="medium">
        <color auto="1"/>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diagonal/>
    </border>
    <border>
      <left/>
      <right style="thick">
        <color indexed="10"/>
      </right>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n">
        <color auto="1"/>
      </left>
      <right style="thin">
        <color auto="1"/>
      </right>
      <top/>
      <bottom style="thin">
        <color auto="1"/>
      </bottom>
      <diagonal/>
    </border>
  </borders>
  <cellStyleXfs count="22">
    <xf numFmtId="0" fontId="0" fillId="0" borderId="0"/>
    <xf numFmtId="0" fontId="13" fillId="0" borderId="0" applyNumberFormat="0" applyFill="0" applyBorder="0" applyAlignment="0" applyProtection="0">
      <alignment vertical="top"/>
      <protection locked="0"/>
    </xf>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23" borderId="0" applyNumberFormat="0" applyBorder="0" applyAlignment="0" applyProtection="0"/>
    <xf numFmtId="0" fontId="38" fillId="24" borderId="0" applyNumberFormat="0" applyBorder="0" applyAlignment="0" applyProtection="0"/>
    <xf numFmtId="0" fontId="39" fillId="25" borderId="0" applyNumberFormat="0" applyBorder="0" applyAlignment="0" applyProtection="0"/>
    <xf numFmtId="0" fontId="41" fillId="26" borderId="0" applyNumberFormat="0" applyBorder="0" applyAlignment="0" applyProtection="0"/>
    <xf numFmtId="0" fontId="1" fillId="0" borderId="0"/>
    <xf numFmtId="0" fontId="42"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cellStyleXfs>
  <cellXfs count="485">
    <xf numFmtId="0" fontId="0" fillId="0" borderId="0" xfId="0"/>
    <xf numFmtId="0" fontId="6" fillId="0" borderId="0" xfId="0" applyFont="1"/>
    <xf numFmtId="0" fontId="6" fillId="0" borderId="0" xfId="0" applyFont="1" applyAlignment="1">
      <alignment horizontal="center" vertical="center"/>
    </xf>
    <xf numFmtId="0" fontId="8" fillId="0" borderId="0" xfId="0" applyFont="1"/>
    <xf numFmtId="0" fontId="9" fillId="0" borderId="0" xfId="0" applyFont="1"/>
    <xf numFmtId="0" fontId="10" fillId="0" borderId="0" xfId="0" applyFont="1"/>
    <xf numFmtId="0" fontId="6" fillId="2" borderId="1" xfId="0" applyFont="1" applyFill="1" applyBorder="1"/>
    <xf numFmtId="2" fontId="6" fillId="0" borderId="0" xfId="0" applyNumberFormat="1" applyFont="1"/>
    <xf numFmtId="0" fontId="11" fillId="0" borderId="0" xfId="0" applyFont="1"/>
    <xf numFmtId="0" fontId="12" fillId="0" borderId="0" xfId="0" applyFont="1"/>
    <xf numFmtId="164" fontId="0" fillId="0" borderId="0" xfId="0" applyNumberFormat="1"/>
    <xf numFmtId="0" fontId="15" fillId="0" borderId="0" xfId="0" applyFont="1" applyFill="1"/>
    <xf numFmtId="0" fontId="4" fillId="0" borderId="0" xfId="0" applyFont="1"/>
    <xf numFmtId="164" fontId="0" fillId="3" borderId="2" xfId="0" applyNumberFormat="1" applyFill="1" applyBorder="1"/>
    <xf numFmtId="164" fontId="0" fillId="3" borderId="2" xfId="0" applyNumberFormat="1" applyFill="1" applyBorder="1" applyProtection="1"/>
    <xf numFmtId="164" fontId="0" fillId="4" borderId="2" xfId="0" applyNumberFormat="1" applyFill="1" applyBorder="1" applyProtection="1">
      <protection locked="0"/>
    </xf>
    <xf numFmtId="10" fontId="0" fillId="4" borderId="2" xfId="0" applyNumberFormat="1" applyFill="1" applyBorder="1" applyProtection="1">
      <protection locked="0"/>
    </xf>
    <xf numFmtId="0" fontId="17" fillId="0" borderId="0" xfId="0" applyFont="1"/>
    <xf numFmtId="0" fontId="17" fillId="3" borderId="2" xfId="0" applyFont="1" applyFill="1" applyBorder="1" applyProtection="1"/>
    <xf numFmtId="0" fontId="17" fillId="2" borderId="1" xfId="0" applyFont="1" applyFill="1" applyBorder="1"/>
    <xf numFmtId="0" fontId="10" fillId="2" borderId="1" xfId="0" applyFont="1" applyFill="1" applyBorder="1"/>
    <xf numFmtId="164" fontId="17" fillId="3" borderId="2" xfId="0" applyNumberFormat="1" applyFont="1" applyFill="1" applyBorder="1" applyProtection="1"/>
    <xf numFmtId="4" fontId="17" fillId="3" borderId="2" xfId="0" applyNumberFormat="1" applyFont="1" applyFill="1" applyBorder="1" applyProtection="1"/>
    <xf numFmtId="4" fontId="17" fillId="0" borderId="0" xfId="0" applyNumberFormat="1" applyFont="1" applyProtection="1"/>
    <xf numFmtId="4" fontId="17" fillId="2" borderId="3" xfId="0" applyNumberFormat="1" applyFont="1" applyFill="1" applyBorder="1" applyProtection="1"/>
    <xf numFmtId="4" fontId="10" fillId="3" borderId="2" xfId="0" applyNumberFormat="1" applyFont="1" applyFill="1" applyBorder="1" applyProtection="1"/>
    <xf numFmtId="0" fontId="19" fillId="0" borderId="0" xfId="0" applyFont="1"/>
    <xf numFmtId="0" fontId="14" fillId="0" borderId="0" xfId="0" applyFont="1"/>
    <xf numFmtId="164" fontId="0" fillId="2" borderId="0" xfId="0" applyNumberFormat="1" applyFill="1"/>
    <xf numFmtId="164" fontId="0" fillId="3" borderId="0" xfId="0" applyNumberFormat="1" applyFill="1"/>
    <xf numFmtId="0" fontId="0" fillId="3" borderId="4" xfId="0" applyFill="1" applyBorder="1"/>
    <xf numFmtId="0" fontId="0" fillId="0" borderId="5" xfId="0" applyBorder="1"/>
    <xf numFmtId="164" fontId="0" fillId="0" borderId="6" xfId="0" applyNumberFormat="1" applyBorder="1"/>
    <xf numFmtId="0" fontId="0" fillId="0" borderId="7" xfId="0" applyBorder="1"/>
    <xf numFmtId="164" fontId="0" fillId="2" borderId="8" xfId="0" applyNumberFormat="1" applyFill="1" applyBorder="1"/>
    <xf numFmtId="0" fontId="3" fillId="0" borderId="0" xfId="0" applyFont="1"/>
    <xf numFmtId="0" fontId="20" fillId="0" borderId="0" xfId="0" applyFont="1"/>
    <xf numFmtId="0" fontId="21" fillId="0" borderId="0" xfId="0" applyFont="1"/>
    <xf numFmtId="0" fontId="0" fillId="5" borderId="5" xfId="0" applyFill="1" applyBorder="1"/>
    <xf numFmtId="164" fontId="0" fillId="5" borderId="6" xfId="0" applyNumberFormat="1" applyFill="1" applyBorder="1"/>
    <xf numFmtId="0" fontId="0" fillId="6" borderId="0" xfId="0" applyFill="1"/>
    <xf numFmtId="164" fontId="0" fillId="6" borderId="0" xfId="0" applyNumberFormat="1" applyFill="1"/>
    <xf numFmtId="0" fontId="0" fillId="7" borderId="0" xfId="0" applyFill="1"/>
    <xf numFmtId="164" fontId="0" fillId="7" borderId="0" xfId="0" applyNumberFormat="1" applyFill="1"/>
    <xf numFmtId="0" fontId="2" fillId="3" borderId="9" xfId="0" applyFont="1" applyFill="1" applyBorder="1"/>
    <xf numFmtId="0" fontId="2" fillId="3" borderId="0" xfId="0" applyFont="1" applyFill="1"/>
    <xf numFmtId="164" fontId="12" fillId="4" borderId="2" xfId="0" applyNumberFormat="1" applyFont="1" applyFill="1" applyBorder="1" applyProtection="1">
      <protection locked="0"/>
    </xf>
    <xf numFmtId="0" fontId="12" fillId="4" borderId="2" xfId="0" applyFont="1" applyFill="1" applyBorder="1" applyProtection="1">
      <protection locked="0"/>
    </xf>
    <xf numFmtId="0" fontId="0" fillId="4" borderId="2" xfId="0" applyFill="1" applyBorder="1" applyProtection="1">
      <protection locked="0"/>
    </xf>
    <xf numFmtId="164" fontId="17" fillId="0" borderId="0" xfId="0" applyNumberFormat="1" applyFont="1" applyProtection="1"/>
    <xf numFmtId="0" fontId="0" fillId="2" borderId="1" xfId="0" applyFill="1" applyBorder="1"/>
    <xf numFmtId="0" fontId="0" fillId="0" borderId="0" xfId="0" applyProtection="1"/>
    <xf numFmtId="0" fontId="12" fillId="0" borderId="2" xfId="0" applyFont="1" applyFill="1" applyBorder="1" applyProtection="1"/>
    <xf numFmtId="0" fontId="0" fillId="0" borderId="2" xfId="0" applyFill="1" applyBorder="1" applyProtection="1"/>
    <xf numFmtId="0" fontId="6" fillId="0" borderId="0" xfId="0" applyFont="1" applyProtection="1"/>
    <xf numFmtId="0" fontId="8" fillId="0" borderId="0" xfId="0" applyFont="1" applyProtection="1"/>
    <xf numFmtId="0" fontId="6" fillId="0" borderId="0" xfId="0" applyFont="1" applyAlignment="1" applyProtection="1">
      <alignment horizontal="center" vertical="center"/>
    </xf>
    <xf numFmtId="0" fontId="10" fillId="0" borderId="0" xfId="0" applyFont="1" applyProtection="1"/>
    <xf numFmtId="0" fontId="11" fillId="0" borderId="0" xfId="0" applyFont="1" applyProtection="1"/>
    <xf numFmtId="0" fontId="6" fillId="8" borderId="10" xfId="0" applyFont="1" applyFill="1" applyBorder="1" applyProtection="1"/>
    <xf numFmtId="0" fontId="8" fillId="8" borderId="10" xfId="0" applyFont="1" applyFill="1" applyBorder="1" applyAlignment="1" applyProtection="1">
      <alignment horizontal="center" vertical="center"/>
    </xf>
    <xf numFmtId="0" fontId="4" fillId="0" borderId="0" xfId="0" applyFont="1" applyProtection="1"/>
    <xf numFmtId="0" fontId="8" fillId="8" borderId="1" xfId="0" applyFont="1" applyFill="1" applyBorder="1" applyProtection="1"/>
    <xf numFmtId="0" fontId="6" fillId="8" borderId="11" xfId="0" applyFont="1" applyFill="1" applyBorder="1" applyProtection="1"/>
    <xf numFmtId="0" fontId="6" fillId="8" borderId="11" xfId="0" applyFont="1" applyFill="1" applyBorder="1" applyAlignment="1" applyProtection="1">
      <alignment horizontal="center" vertical="center"/>
    </xf>
    <xf numFmtId="4" fontId="0" fillId="9" borderId="12" xfId="0" applyNumberFormat="1" applyFill="1" applyBorder="1" applyAlignment="1" applyProtection="1">
      <alignment horizontal="right"/>
    </xf>
    <xf numFmtId="4" fontId="0" fillId="9" borderId="12" xfId="0" applyNumberFormat="1" applyFill="1" applyBorder="1" applyProtection="1"/>
    <xf numFmtId="0" fontId="8" fillId="8" borderId="3" xfId="0" applyFont="1" applyFill="1" applyBorder="1" applyAlignment="1" applyProtection="1">
      <alignment horizontal="right"/>
    </xf>
    <xf numFmtId="0" fontId="9" fillId="0" borderId="0" xfId="0" applyFont="1" applyProtection="1"/>
    <xf numFmtId="0" fontId="5" fillId="0" borderId="0" xfId="0" applyFont="1" applyProtection="1"/>
    <xf numFmtId="4" fontId="9" fillId="0" borderId="0" xfId="0" applyNumberFormat="1" applyFont="1" applyProtection="1"/>
    <xf numFmtId="4" fontId="9" fillId="0" borderId="0" xfId="0" applyNumberFormat="1" applyFont="1" applyAlignment="1" applyProtection="1">
      <alignment horizontal="center" vertical="center"/>
    </xf>
    <xf numFmtId="0" fontId="17" fillId="0" borderId="0" xfId="0" applyFont="1" applyProtection="1"/>
    <xf numFmtId="9" fontId="10" fillId="8" borderId="0" xfId="0" applyNumberFormat="1" applyFont="1" applyFill="1" applyProtection="1"/>
    <xf numFmtId="164" fontId="17" fillId="2" borderId="0" xfId="0" applyNumberFormat="1" applyFont="1" applyFill="1" applyProtection="1"/>
    <xf numFmtId="4" fontId="17" fillId="2" borderId="0" xfId="0" applyNumberFormat="1" applyFont="1" applyFill="1" applyAlignment="1" applyProtection="1">
      <alignment horizontal="center" vertical="center"/>
    </xf>
    <xf numFmtId="4" fontId="17" fillId="0" borderId="0" xfId="0" applyNumberFormat="1" applyFont="1" applyAlignment="1" applyProtection="1">
      <alignment horizontal="center" vertical="center"/>
    </xf>
    <xf numFmtId="4" fontId="0" fillId="0" borderId="0" xfId="0" applyNumberFormat="1" applyProtection="1"/>
    <xf numFmtId="0" fontId="17" fillId="0" borderId="0" xfId="0" applyFont="1" applyAlignment="1" applyProtection="1">
      <alignment horizontal="center" vertical="center"/>
    </xf>
    <xf numFmtId="0" fontId="10" fillId="10" borderId="1" xfId="0" applyFont="1" applyFill="1" applyBorder="1" applyProtection="1"/>
    <xf numFmtId="0" fontId="17" fillId="10" borderId="13" xfId="0" applyFont="1" applyFill="1" applyBorder="1" applyProtection="1"/>
    <xf numFmtId="164" fontId="17" fillId="2" borderId="0" xfId="0" applyNumberFormat="1" applyFont="1" applyFill="1" applyAlignment="1" applyProtection="1">
      <alignment horizontal="center" vertical="center"/>
    </xf>
    <xf numFmtId="164" fontId="0" fillId="0" borderId="0" xfId="0" applyNumberFormat="1" applyProtection="1"/>
    <xf numFmtId="0" fontId="14" fillId="0" borderId="0" xfId="0" applyFont="1" applyFill="1" applyProtection="1"/>
    <xf numFmtId="0" fontId="15" fillId="0" borderId="0" xfId="0" applyFont="1" applyFill="1" applyProtection="1"/>
    <xf numFmtId="0" fontId="0" fillId="0" borderId="0" xfId="0" applyFill="1" applyProtection="1"/>
    <xf numFmtId="1" fontId="0" fillId="0" borderId="0" xfId="0" applyNumberFormat="1" applyProtection="1"/>
    <xf numFmtId="2" fontId="0" fillId="0" borderId="0" xfId="0" applyNumberFormat="1" applyProtection="1"/>
    <xf numFmtId="164" fontId="0" fillId="0" borderId="0" xfId="0" applyNumberFormat="1" applyAlignment="1" applyProtection="1">
      <alignment horizontal="right"/>
    </xf>
    <xf numFmtId="0" fontId="2" fillId="10" borderId="0" xfId="0" applyFont="1" applyFill="1" applyProtection="1"/>
    <xf numFmtId="0" fontId="13" fillId="0" borderId="0" xfId="1" applyAlignment="1" applyProtection="1"/>
    <xf numFmtId="164" fontId="15" fillId="0" borderId="0" xfId="0" applyNumberFormat="1" applyFont="1" applyAlignment="1" applyProtection="1">
      <alignment horizontal="center"/>
    </xf>
    <xf numFmtId="164" fontId="12" fillId="3" borderId="2" xfId="0" applyNumberFormat="1" applyFont="1" applyFill="1" applyBorder="1" applyProtection="1"/>
    <xf numFmtId="0" fontId="0" fillId="3" borderId="2" xfId="0" applyFill="1" applyBorder="1"/>
    <xf numFmtId="4" fontId="0" fillId="9" borderId="0" xfId="0" applyNumberFormat="1" applyFill="1" applyBorder="1" applyAlignment="1" applyProtection="1">
      <alignment horizontal="right"/>
    </xf>
    <xf numFmtId="4" fontId="0" fillId="9" borderId="0" xfId="0" applyNumberFormat="1" applyFill="1" applyBorder="1" applyProtection="1"/>
    <xf numFmtId="4" fontId="0" fillId="9" borderId="11" xfId="0" applyNumberFormat="1" applyFill="1" applyBorder="1" applyAlignment="1" applyProtection="1">
      <alignment horizontal="right"/>
    </xf>
    <xf numFmtId="4" fontId="0" fillId="9" borderId="11" xfId="0" applyNumberFormat="1" applyFill="1" applyBorder="1" applyProtection="1"/>
    <xf numFmtId="0" fontId="0" fillId="4" borderId="1" xfId="0" applyFill="1" applyBorder="1" applyProtection="1"/>
    <xf numFmtId="0" fontId="0" fillId="4" borderId="13" xfId="0" applyFill="1" applyBorder="1" applyProtection="1"/>
    <xf numFmtId="0" fontId="0" fillId="4" borderId="13" xfId="0" applyFill="1" applyBorder="1" applyAlignment="1" applyProtection="1">
      <alignment horizontal="center"/>
    </xf>
    <xf numFmtId="0" fontId="0" fillId="4" borderId="3" xfId="0" applyFill="1" applyBorder="1" applyProtection="1"/>
    <xf numFmtId="0" fontId="0" fillId="2" borderId="9" xfId="0" applyFill="1" applyBorder="1" applyProtection="1"/>
    <xf numFmtId="0" fontId="0" fillId="2" borderId="5" xfId="0" applyFill="1" applyBorder="1" applyProtection="1"/>
    <xf numFmtId="0" fontId="0" fillId="2" borderId="7" xfId="0" applyFill="1" applyBorder="1" applyProtection="1"/>
    <xf numFmtId="0" fontId="0" fillId="2" borderId="4" xfId="0" applyFill="1" applyBorder="1" applyProtection="1"/>
    <xf numFmtId="0" fontId="0" fillId="2" borderId="6" xfId="0" applyFill="1" applyBorder="1" applyProtection="1"/>
    <xf numFmtId="0" fontId="0" fillId="2" borderId="8" xfId="0" applyFill="1" applyBorder="1" applyProtection="1"/>
    <xf numFmtId="0" fontId="2" fillId="0" borderId="0" xfId="0" applyFont="1"/>
    <xf numFmtId="8" fontId="0" fillId="3" borderId="2" xfId="0" applyNumberFormat="1" applyFill="1" applyBorder="1" applyProtection="1"/>
    <xf numFmtId="0" fontId="0" fillId="0" borderId="2" xfId="0" applyBorder="1"/>
    <xf numFmtId="0" fontId="0" fillId="2" borderId="0" xfId="0" applyFill="1"/>
    <xf numFmtId="164" fontId="0" fillId="3" borderId="2" xfId="0" applyNumberFormat="1" applyFill="1" applyBorder="1" applyAlignment="1">
      <alignment shrinkToFit="1"/>
    </xf>
    <xf numFmtId="0" fontId="7" fillId="0" borderId="0" xfId="0" applyFont="1" applyProtection="1"/>
    <xf numFmtId="0" fontId="12" fillId="0" borderId="0" xfId="0" applyFont="1" applyProtection="1"/>
    <xf numFmtId="164" fontId="12" fillId="0" borderId="0" xfId="0" applyNumberFormat="1" applyFont="1" applyProtection="1"/>
    <xf numFmtId="164" fontId="12" fillId="3" borderId="2" xfId="0" applyNumberFormat="1" applyFont="1" applyFill="1" applyBorder="1" applyAlignment="1" applyProtection="1">
      <alignment horizontal="center"/>
    </xf>
    <xf numFmtId="0" fontId="12" fillId="3" borderId="1" xfId="0" applyFont="1" applyFill="1" applyBorder="1" applyAlignment="1" applyProtection="1">
      <alignment horizontal="left"/>
    </xf>
    <xf numFmtId="0" fontId="12" fillId="4" borderId="2" xfId="0" applyFont="1" applyFill="1" applyBorder="1" applyProtection="1"/>
    <xf numFmtId="164" fontId="4" fillId="3" borderId="2" xfId="0" applyNumberFormat="1" applyFont="1" applyFill="1" applyBorder="1" applyProtection="1"/>
    <xf numFmtId="0" fontId="11" fillId="0" borderId="0" xfId="0" applyFont="1" applyAlignment="1" applyProtection="1">
      <alignment horizontal="right"/>
    </xf>
    <xf numFmtId="0" fontId="20" fillId="0" borderId="0" xfId="0" applyFont="1" applyProtection="1"/>
    <xf numFmtId="8" fontId="0" fillId="4" borderId="2" xfId="0" applyNumberFormat="1" applyFill="1" applyBorder="1" applyProtection="1">
      <protection locked="0"/>
    </xf>
    <xf numFmtId="0" fontId="0" fillId="4" borderId="2" xfId="0" applyNumberFormat="1" applyFill="1" applyBorder="1" applyAlignment="1" applyProtection="1">
      <alignment horizontal="right"/>
      <protection locked="0"/>
    </xf>
    <xf numFmtId="164" fontId="9" fillId="0" borderId="0" xfId="0" applyNumberFormat="1" applyFont="1"/>
    <xf numFmtId="0" fontId="0" fillId="0" borderId="0" xfId="0" applyProtection="1">
      <protection locked="0"/>
    </xf>
    <xf numFmtId="0" fontId="0" fillId="0" borderId="0" xfId="0" applyAlignment="1">
      <alignment horizontal="center"/>
    </xf>
    <xf numFmtId="0" fontId="0" fillId="0" borderId="0" xfId="0" applyAlignment="1"/>
    <xf numFmtId="164" fontId="0" fillId="8" borderId="2" xfId="0" applyNumberFormat="1" applyFill="1" applyBorder="1" applyProtection="1"/>
    <xf numFmtId="164" fontId="0" fillId="3" borderId="2" xfId="0" applyNumberFormat="1" applyFill="1" applyBorder="1" applyProtection="1">
      <protection locked="0"/>
    </xf>
    <xf numFmtId="0" fontId="0" fillId="0" borderId="0" xfId="0" applyAlignment="1">
      <alignment horizontal="left"/>
    </xf>
    <xf numFmtId="1" fontId="0" fillId="0" borderId="0" xfId="0" applyNumberFormat="1" applyFill="1" applyBorder="1"/>
    <xf numFmtId="0" fontId="0" fillId="0" borderId="0" xfId="0" applyFill="1"/>
    <xf numFmtId="49" fontId="0" fillId="0" borderId="0" xfId="0" applyNumberFormat="1" applyFill="1" applyBorder="1" applyAlignment="1"/>
    <xf numFmtId="164" fontId="25" fillId="0" borderId="0" xfId="0" applyNumberFormat="1" applyFont="1" applyFill="1" applyBorder="1" applyProtection="1"/>
    <xf numFmtId="0" fontId="2" fillId="0" borderId="0" xfId="0" applyFont="1" applyProtection="1"/>
    <xf numFmtId="164" fontId="0" fillId="0" borderId="0" xfId="0" applyNumberFormat="1" applyFill="1" applyBorder="1" applyAlignment="1"/>
    <xf numFmtId="0" fontId="15" fillId="0" borderId="0" xfId="0" applyFont="1" applyFill="1" applyAlignment="1"/>
    <xf numFmtId="0" fontId="22" fillId="0" borderId="0" xfId="0" applyFont="1" applyProtection="1"/>
    <xf numFmtId="164" fontId="22" fillId="0" borderId="0" xfId="0" applyNumberFormat="1" applyFont="1" applyProtection="1"/>
    <xf numFmtId="0" fontId="14" fillId="0" borderId="0" xfId="0" applyFont="1" applyProtection="1"/>
    <xf numFmtId="164" fontId="14" fillId="0" borderId="0" xfId="0" applyNumberFormat="1" applyFont="1" applyProtection="1"/>
    <xf numFmtId="0" fontId="0" fillId="3" borderId="2" xfId="0" applyNumberFormat="1" applyFill="1" applyBorder="1" applyProtection="1"/>
    <xf numFmtId="1" fontId="0" fillId="3" borderId="2" xfId="0" applyNumberFormat="1" applyFill="1" applyBorder="1" applyProtection="1"/>
    <xf numFmtId="1" fontId="4" fillId="3" borderId="2" xfId="0" applyNumberFormat="1" applyFont="1" applyFill="1" applyBorder="1" applyProtection="1"/>
    <xf numFmtId="0" fontId="0" fillId="0" borderId="0" xfId="0" applyAlignment="1" applyProtection="1">
      <alignment shrinkToFit="1"/>
    </xf>
    <xf numFmtId="0" fontId="0" fillId="2" borderId="0" xfId="0" applyFill="1" applyProtection="1"/>
    <xf numFmtId="0" fontId="0" fillId="3" borderId="2" xfId="0" applyFill="1" applyBorder="1" applyProtection="1"/>
    <xf numFmtId="0" fontId="0" fillId="0" borderId="2" xfId="0" applyBorder="1" applyProtection="1"/>
    <xf numFmtId="164" fontId="0" fillId="3" borderId="2" xfId="0" applyNumberFormat="1" applyFill="1" applyBorder="1" applyAlignment="1" applyProtection="1">
      <alignment shrinkToFit="1"/>
    </xf>
    <xf numFmtId="2" fontId="6" fillId="0" borderId="0" xfId="0" applyNumberFormat="1" applyFont="1" applyProtection="1"/>
    <xf numFmtId="0" fontId="6" fillId="2" borderId="13" xfId="0" applyFont="1" applyFill="1" applyBorder="1" applyProtection="1"/>
    <xf numFmtId="0" fontId="8" fillId="2" borderId="13" xfId="0" applyFont="1" applyFill="1" applyBorder="1" applyAlignment="1" applyProtection="1">
      <alignment horizontal="center"/>
    </xf>
    <xf numFmtId="2" fontId="6" fillId="2" borderId="3" xfId="0" applyNumberFormat="1" applyFont="1" applyFill="1" applyBorder="1" applyProtection="1"/>
    <xf numFmtId="2" fontId="8" fillId="0" borderId="0" xfId="0" applyNumberFormat="1" applyFont="1" applyAlignment="1" applyProtection="1">
      <alignment horizontal="center"/>
    </xf>
    <xf numFmtId="0" fontId="17" fillId="11" borderId="0" xfId="0" applyFont="1" applyFill="1" applyAlignment="1" applyProtection="1">
      <alignment shrinkToFit="1"/>
    </xf>
    <xf numFmtId="0" fontId="17" fillId="11" borderId="0" xfId="0" applyFont="1" applyFill="1" applyProtection="1"/>
    <xf numFmtId="0" fontId="17" fillId="2" borderId="13" xfId="0" applyFont="1" applyFill="1" applyBorder="1" applyProtection="1"/>
    <xf numFmtId="0" fontId="10" fillId="2" borderId="3" xfId="0" applyFont="1" applyFill="1" applyBorder="1" applyProtection="1"/>
    <xf numFmtId="0" fontId="0" fillId="2" borderId="13" xfId="0" applyFill="1" applyBorder="1" applyProtection="1"/>
    <xf numFmtId="0" fontId="0" fillId="2" borderId="3" xfId="0" applyFill="1" applyBorder="1" applyProtection="1"/>
    <xf numFmtId="0" fontId="10" fillId="2" borderId="13" xfId="0" applyFont="1" applyFill="1" applyBorder="1" applyAlignment="1" applyProtection="1">
      <alignment horizontal="center"/>
    </xf>
    <xf numFmtId="0" fontId="16" fillId="0" borderId="0" xfId="0" applyFont="1"/>
    <xf numFmtId="0" fontId="11" fillId="4" borderId="2" xfId="0" applyFont="1" applyFill="1" applyBorder="1" applyProtection="1">
      <protection locked="0"/>
    </xf>
    <xf numFmtId="164" fontId="0" fillId="4" borderId="2" xfId="0" applyNumberFormat="1" applyFill="1" applyBorder="1" applyAlignment="1" applyProtection="1">
      <alignment shrinkToFit="1"/>
      <protection locked="0"/>
    </xf>
    <xf numFmtId="49" fontId="0" fillId="4" borderId="2" xfId="0" applyNumberFormat="1" applyFill="1" applyBorder="1" applyAlignment="1" applyProtection="1">
      <alignment shrinkToFit="1"/>
      <protection locked="0"/>
    </xf>
    <xf numFmtId="164" fontId="27" fillId="0" borderId="0" xfId="0" applyNumberFormat="1" applyFont="1" applyProtection="1"/>
    <xf numFmtId="0" fontId="16" fillId="0" borderId="0" xfId="0" applyFont="1" applyProtection="1"/>
    <xf numFmtId="164" fontId="16" fillId="0" borderId="0" xfId="0" applyNumberFormat="1" applyFont="1" applyProtection="1"/>
    <xf numFmtId="2" fontId="0" fillId="4" borderId="2" xfId="0" applyNumberFormat="1" applyFill="1" applyBorder="1" applyProtection="1">
      <protection locked="0"/>
    </xf>
    <xf numFmtId="0" fontId="0" fillId="0" borderId="0" xfId="0" applyBorder="1" applyAlignment="1" applyProtection="1">
      <protection locked="0"/>
    </xf>
    <xf numFmtId="0" fontId="0" fillId="0" borderId="0" xfId="0" applyBorder="1" applyAlignment="1" applyProtection="1">
      <alignment horizontal="left"/>
      <protection locked="0"/>
    </xf>
    <xf numFmtId="0" fontId="0" fillId="0" borderId="0" xfId="0" applyBorder="1" applyProtection="1">
      <protection locked="0"/>
    </xf>
    <xf numFmtId="0" fontId="0" fillId="0" borderId="0" xfId="0" applyAlignment="1">
      <alignment horizontal="right"/>
    </xf>
    <xf numFmtId="0" fontId="0" fillId="0" borderId="0" xfId="0" applyFill="1" applyBorder="1" applyAlignment="1">
      <alignment horizontal="right"/>
    </xf>
    <xf numFmtId="1" fontId="0" fillId="4" borderId="2" xfId="0" applyNumberFormat="1" applyFill="1" applyBorder="1" applyProtection="1">
      <protection locked="0"/>
    </xf>
    <xf numFmtId="0" fontId="28" fillId="2" borderId="0" xfId="0" applyFont="1" applyFill="1" applyAlignment="1">
      <alignment horizontal="left"/>
    </xf>
    <xf numFmtId="0" fontId="0" fillId="2" borderId="2" xfId="0" applyFill="1" applyBorder="1" applyAlignment="1">
      <alignment horizontal="right"/>
    </xf>
    <xf numFmtId="164" fontId="0" fillId="4" borderId="10" xfId="0" applyNumberFormat="1" applyFill="1" applyBorder="1" applyProtection="1">
      <protection locked="0"/>
    </xf>
    <xf numFmtId="0" fontId="0" fillId="0" borderId="14" xfId="0" applyBorder="1"/>
    <xf numFmtId="0" fontId="0" fillId="0" borderId="14" xfId="0" applyBorder="1" applyAlignment="1">
      <alignment horizontal="right"/>
    </xf>
    <xf numFmtId="1" fontId="0" fillId="3" borderId="2" xfId="0" applyNumberFormat="1" applyFill="1" applyBorder="1"/>
    <xf numFmtId="0" fontId="0" fillId="0" borderId="0" xfId="0" applyAlignment="1">
      <alignment shrinkToFit="1"/>
    </xf>
    <xf numFmtId="4" fontId="29" fillId="12" borderId="2" xfId="0" applyNumberFormat="1" applyFont="1" applyFill="1" applyBorder="1" applyProtection="1"/>
    <xf numFmtId="2" fontId="17" fillId="0" borderId="0" xfId="0" applyNumberFormat="1" applyFont="1" applyProtection="1"/>
    <xf numFmtId="0" fontId="17" fillId="0" borderId="0" xfId="0" applyFont="1" applyFill="1" applyBorder="1" applyAlignment="1" applyProtection="1">
      <alignment horizontal="center" vertical="center"/>
    </xf>
    <xf numFmtId="0" fontId="6" fillId="2" borderId="1" xfId="0" applyFont="1" applyFill="1" applyBorder="1" applyProtection="1"/>
    <xf numFmtId="0" fontId="9" fillId="0" borderId="0" xfId="0" applyFont="1" applyAlignment="1" applyProtection="1">
      <alignment horizontal="center" vertical="center"/>
    </xf>
    <xf numFmtId="8" fontId="0" fillId="8" borderId="3" xfId="0" applyNumberFormat="1" applyFill="1" applyBorder="1" applyProtection="1"/>
    <xf numFmtId="0" fontId="10" fillId="2" borderId="1" xfId="0" applyFont="1" applyFill="1" applyBorder="1" applyProtection="1"/>
    <xf numFmtId="0" fontId="18" fillId="2" borderId="1" xfId="0" applyFont="1" applyFill="1" applyBorder="1" applyProtection="1"/>
    <xf numFmtId="164" fontId="17" fillId="4" borderId="2" xfId="0" applyNumberFormat="1" applyFont="1" applyFill="1" applyBorder="1" applyProtection="1"/>
    <xf numFmtId="2" fontId="29" fillId="13" borderId="2" xfId="0" applyNumberFormat="1" applyFont="1" applyFill="1" applyBorder="1" applyProtection="1"/>
    <xf numFmtId="0" fontId="2" fillId="2" borderId="0" xfId="0" applyFont="1" applyFill="1" applyProtection="1"/>
    <xf numFmtId="0" fontId="2" fillId="2" borderId="10" xfId="0" applyFont="1" applyFill="1" applyBorder="1" applyProtection="1"/>
    <xf numFmtId="164" fontId="0" fillId="14" borderId="2" xfId="0" applyNumberFormat="1" applyFill="1" applyBorder="1" applyProtection="1"/>
    <xf numFmtId="164" fontId="0" fillId="0" borderId="2" xfId="0" applyNumberFormat="1" applyBorder="1" applyProtection="1"/>
    <xf numFmtId="0" fontId="0" fillId="0" borderId="0" xfId="0" applyBorder="1" applyAlignment="1" applyProtection="1">
      <alignment horizontal="left"/>
    </xf>
    <xf numFmtId="0" fontId="0" fillId="0" borderId="0" xfId="0" applyBorder="1" applyAlignment="1" applyProtection="1"/>
    <xf numFmtId="0" fontId="15" fillId="0" borderId="0" xfId="0" applyFont="1" applyProtection="1"/>
    <xf numFmtId="0" fontId="2" fillId="2" borderId="9" xfId="0" applyFont="1" applyFill="1" applyBorder="1" applyAlignment="1" applyProtection="1"/>
    <xf numFmtId="0" fontId="0" fillId="3" borderId="2" xfId="0" applyFill="1" applyBorder="1" applyAlignment="1" applyProtection="1">
      <alignment horizontal="left"/>
    </xf>
    <xf numFmtId="0" fontId="0" fillId="0" borderId="0" xfId="0" applyFill="1" applyBorder="1" applyAlignment="1" applyProtection="1">
      <alignment horizontal="left"/>
    </xf>
    <xf numFmtId="0" fontId="0" fillId="0" borderId="0" xfId="0" applyFill="1" applyBorder="1" applyAlignment="1" applyProtection="1">
      <alignment shrinkToFit="1"/>
    </xf>
    <xf numFmtId="0" fontId="12" fillId="0" borderId="2" xfId="0" applyFont="1" applyBorder="1" applyProtection="1"/>
    <xf numFmtId="0" fontId="0" fillId="6" borderId="2" xfId="0" applyFill="1" applyBorder="1" applyAlignment="1"/>
    <xf numFmtId="0" fontId="0" fillId="6" borderId="2" xfId="0" applyFill="1" applyBorder="1"/>
    <xf numFmtId="0" fontId="9" fillId="0" borderId="0" xfId="0" applyFont="1" applyFill="1"/>
    <xf numFmtId="0" fontId="17" fillId="3" borderId="2" xfId="0" applyNumberFormat="1" applyFont="1" applyFill="1" applyBorder="1" applyProtection="1"/>
    <xf numFmtId="0" fontId="16" fillId="0" borderId="0" xfId="0" applyFont="1" applyAlignment="1">
      <alignment horizontal="center"/>
    </xf>
    <xf numFmtId="14" fontId="16" fillId="0" borderId="0" xfId="0" applyNumberFormat="1" applyFont="1" applyAlignment="1">
      <alignment horizontal="center"/>
    </xf>
    <xf numFmtId="0" fontId="34" fillId="0" borderId="0" xfId="0" applyFont="1"/>
    <xf numFmtId="0" fontId="35" fillId="0" borderId="0" xfId="0" applyFont="1" applyAlignment="1" applyProtection="1">
      <alignment horizontal="center"/>
    </xf>
    <xf numFmtId="0" fontId="9" fillId="0" borderId="0" xfId="0" applyFont="1" applyFill="1" applyProtection="1"/>
    <xf numFmtId="0" fontId="9" fillId="0" borderId="2" xfId="0" applyFont="1" applyBorder="1" applyProtection="1"/>
    <xf numFmtId="164" fontId="9" fillId="8" borderId="2" xfId="0" applyNumberFormat="1" applyFont="1" applyFill="1" applyBorder="1" applyProtection="1"/>
    <xf numFmtId="0" fontId="5" fillId="8" borderId="2" xfId="0" applyFont="1" applyFill="1" applyBorder="1" applyProtection="1"/>
    <xf numFmtId="164" fontId="9" fillId="2" borderId="2" xfId="0" applyNumberFormat="1" applyFont="1" applyFill="1" applyBorder="1" applyProtection="1"/>
    <xf numFmtId="0" fontId="5" fillId="2" borderId="2" xfId="0" applyFont="1" applyFill="1" applyBorder="1" applyProtection="1"/>
    <xf numFmtId="164" fontId="9" fillId="0" borderId="2" xfId="0" applyNumberFormat="1" applyFont="1" applyFill="1" applyBorder="1" applyProtection="1"/>
    <xf numFmtId="164" fontId="9" fillId="0" borderId="2" xfId="0" applyNumberFormat="1" applyFont="1" applyBorder="1" applyProtection="1"/>
    <xf numFmtId="0" fontId="5" fillId="0" borderId="2" xfId="0" applyFont="1" applyBorder="1" applyProtection="1"/>
    <xf numFmtId="164" fontId="9" fillId="0" borderId="0" xfId="0" applyNumberFormat="1" applyFont="1" applyProtection="1"/>
    <xf numFmtId="164" fontId="9" fillId="4" borderId="0" xfId="0" applyNumberFormat="1" applyFont="1" applyFill="1" applyProtection="1"/>
    <xf numFmtId="0" fontId="9" fillId="4" borderId="0" xfId="0" applyFont="1" applyFill="1" applyProtection="1"/>
    <xf numFmtId="164" fontId="9" fillId="4" borderId="1" xfId="0" applyNumberFormat="1" applyFont="1" applyFill="1" applyBorder="1" applyProtection="1"/>
    <xf numFmtId="164" fontId="9" fillId="4" borderId="13" xfId="0" applyNumberFormat="1" applyFont="1" applyFill="1" applyBorder="1" applyProtection="1"/>
    <xf numFmtId="164" fontId="9" fillId="4" borderId="3" xfId="0" applyNumberFormat="1" applyFont="1" applyFill="1" applyBorder="1" applyProtection="1"/>
    <xf numFmtId="0" fontId="28" fillId="2" borderId="15" xfId="0" applyFont="1" applyFill="1" applyBorder="1" applyAlignment="1">
      <alignment horizontal="left"/>
    </xf>
    <xf numFmtId="0" fontId="11" fillId="2" borderId="15" xfId="0" applyFont="1" applyFill="1" applyBorder="1" applyAlignment="1"/>
    <xf numFmtId="0" fontId="12" fillId="2" borderId="2" xfId="0" applyFont="1" applyFill="1" applyBorder="1" applyProtection="1">
      <protection locked="0"/>
    </xf>
    <xf numFmtId="164" fontId="9" fillId="18" borderId="0" xfId="0" applyNumberFormat="1" applyFont="1" applyFill="1" applyProtection="1"/>
    <xf numFmtId="0" fontId="9" fillId="18" borderId="0" xfId="0" applyFont="1" applyFill="1" applyProtection="1"/>
    <xf numFmtId="0" fontId="0" fillId="0" borderId="0" xfId="0" applyFill="1" applyAlignment="1"/>
    <xf numFmtId="0" fontId="0" fillId="19" borderId="2" xfId="0" applyFill="1" applyBorder="1" applyProtection="1">
      <protection locked="0"/>
    </xf>
    <xf numFmtId="0" fontId="0" fillId="0" borderId="0" xfId="0" applyAlignment="1">
      <alignment horizontal="right"/>
    </xf>
    <xf numFmtId="164" fontId="0" fillId="20" borderId="2" xfId="0" applyNumberFormat="1" applyFill="1" applyBorder="1" applyProtection="1">
      <protection locked="0"/>
    </xf>
    <xf numFmtId="0" fontId="0" fillId="0" borderId="0" xfId="0" applyFont="1" applyProtection="1"/>
    <xf numFmtId="0" fontId="0" fillId="0" borderId="2" xfId="0" applyFont="1" applyFill="1" applyBorder="1" applyProtection="1"/>
    <xf numFmtId="164" fontId="0" fillId="4" borderId="3" xfId="0" applyNumberFormat="1" applyFill="1" applyBorder="1" applyAlignment="1" applyProtection="1">
      <alignment horizontal="right"/>
      <protection locked="0"/>
    </xf>
    <xf numFmtId="0" fontId="0" fillId="0" borderId="0" xfId="0" applyFill="1" applyBorder="1" applyAlignment="1"/>
    <xf numFmtId="0" fontId="0" fillId="0" borderId="0" xfId="0" applyFill="1" applyBorder="1" applyAlignment="1">
      <alignment horizontal="right" shrinkToFit="1"/>
    </xf>
    <xf numFmtId="164" fontId="0" fillId="21" borderId="2" xfId="0" applyNumberFormat="1" applyFill="1" applyBorder="1" applyAlignment="1">
      <alignment shrinkToFit="1"/>
    </xf>
    <xf numFmtId="0" fontId="0" fillId="0" borderId="0" xfId="0" applyAlignment="1"/>
    <xf numFmtId="0" fontId="0" fillId="0" borderId="0" xfId="0" applyAlignment="1">
      <alignment shrinkToFit="1"/>
    </xf>
    <xf numFmtId="0" fontId="18" fillId="2" borderId="1" xfId="0" applyFont="1" applyFill="1" applyBorder="1" applyProtection="1"/>
    <xf numFmtId="0" fontId="10" fillId="0" borderId="0" xfId="0" applyFont="1" applyProtection="1"/>
    <xf numFmtId="0" fontId="9" fillId="0" borderId="0" xfId="0" applyFont="1" applyAlignment="1" applyProtection="1">
      <alignment horizontal="right"/>
    </xf>
    <xf numFmtId="0" fontId="0" fillId="0" borderId="0" xfId="0" applyProtection="1"/>
    <xf numFmtId="0" fontId="1" fillId="0" borderId="0" xfId="14"/>
    <xf numFmtId="0" fontId="1" fillId="0" borderId="0" xfId="14" applyFill="1"/>
    <xf numFmtId="0" fontId="1" fillId="6" borderId="2" xfId="14" applyFill="1" applyBorder="1" applyAlignment="1" applyProtection="1">
      <alignment horizontal="right"/>
    </xf>
    <xf numFmtId="0" fontId="1" fillId="4" borderId="2" xfId="14" applyFill="1" applyBorder="1" applyAlignment="1" applyProtection="1">
      <protection locked="0"/>
    </xf>
    <xf numFmtId="0" fontId="1" fillId="22" borderId="2" xfId="14" applyFill="1" applyBorder="1" applyAlignment="1" applyProtection="1">
      <alignment horizontal="center" vertical="center" wrapText="1"/>
    </xf>
    <xf numFmtId="164" fontId="1" fillId="22" borderId="2" xfId="14" applyNumberFormat="1" applyFill="1" applyBorder="1" applyAlignment="1" applyProtection="1">
      <alignment horizontal="center" vertical="center" wrapText="1"/>
    </xf>
    <xf numFmtId="164" fontId="1" fillId="22" borderId="2" xfId="14" applyNumberFormat="1" applyFill="1" applyBorder="1" applyAlignment="1" applyProtection="1">
      <alignment horizontal="center" vertical="center"/>
    </xf>
    <xf numFmtId="0" fontId="1" fillId="27" borderId="2" xfId="14" applyFill="1" applyBorder="1" applyAlignment="1" applyProtection="1">
      <alignment horizontal="center" vertical="top" wrapText="1"/>
    </xf>
    <xf numFmtId="164" fontId="1" fillId="27" borderId="2" xfId="14" applyNumberFormat="1" applyFill="1" applyBorder="1" applyAlignment="1" applyProtection="1">
      <alignment horizontal="center" vertical="top" wrapText="1"/>
    </xf>
    <xf numFmtId="164" fontId="1" fillId="27" borderId="2" xfId="14" applyNumberFormat="1" applyFill="1" applyBorder="1" applyAlignment="1" applyProtection="1">
      <alignment horizontal="center"/>
    </xf>
    <xf numFmtId="0" fontId="1" fillId="28" borderId="2" xfId="14" applyFill="1" applyBorder="1" applyAlignment="1" applyProtection="1">
      <alignment horizontal="center" vertical="top" wrapText="1"/>
    </xf>
    <xf numFmtId="164" fontId="1" fillId="28" borderId="2" xfId="14" applyNumberFormat="1" applyFill="1" applyBorder="1" applyAlignment="1" applyProtection="1">
      <alignment horizontal="center" vertical="top" wrapText="1"/>
    </xf>
    <xf numFmtId="164" fontId="1" fillId="28" borderId="2" xfId="14" applyNumberFormat="1" applyFill="1" applyBorder="1" applyAlignment="1" applyProtection="1">
      <alignment horizontal="center"/>
    </xf>
    <xf numFmtId="0" fontId="1" fillId="29" borderId="2" xfId="14" applyFill="1" applyBorder="1" applyAlignment="1" applyProtection="1">
      <alignment horizontal="center" vertical="top" wrapText="1"/>
    </xf>
    <xf numFmtId="164" fontId="1" fillId="29" borderId="2" xfId="14" applyNumberFormat="1" applyFill="1" applyBorder="1" applyAlignment="1" applyProtection="1">
      <alignment horizontal="center" vertical="top" wrapText="1"/>
    </xf>
    <xf numFmtId="164" fontId="1" fillId="29" borderId="2" xfId="14" applyNumberFormat="1" applyFill="1" applyBorder="1" applyAlignment="1" applyProtection="1">
      <alignment horizontal="center"/>
    </xf>
    <xf numFmtId="0" fontId="1" fillId="30" borderId="2" xfId="14" applyFill="1" applyBorder="1" applyAlignment="1" applyProtection="1">
      <alignment horizontal="center" vertical="top" wrapText="1"/>
    </xf>
    <xf numFmtId="164" fontId="1" fillId="30" borderId="2" xfId="14" applyNumberFormat="1" applyFill="1" applyBorder="1" applyAlignment="1" applyProtection="1">
      <alignment horizontal="center" vertical="top" wrapText="1"/>
    </xf>
    <xf numFmtId="164" fontId="1" fillId="30" borderId="2" xfId="14" applyNumberFormat="1" applyFill="1" applyBorder="1" applyAlignment="1" applyProtection="1">
      <alignment horizontal="center"/>
    </xf>
    <xf numFmtId="164" fontId="38" fillId="24" borderId="2" xfId="11" applyNumberFormat="1" applyBorder="1" applyAlignment="1" applyProtection="1"/>
    <xf numFmtId="0" fontId="1" fillId="6" borderId="24" xfId="14" applyFill="1" applyBorder="1" applyAlignment="1" applyProtection="1">
      <alignment horizontal="right"/>
    </xf>
    <xf numFmtId="164" fontId="38" fillId="24" borderId="24" xfId="11" applyNumberFormat="1" applyBorder="1" applyAlignment="1" applyProtection="1"/>
    <xf numFmtId="0" fontId="1" fillId="0" borderId="0" xfId="14" applyBorder="1" applyAlignment="1">
      <alignment vertical="center"/>
    </xf>
    <xf numFmtId="164" fontId="38" fillId="24" borderId="24" xfId="11" applyNumberFormat="1" applyBorder="1" applyAlignment="1" applyProtection="1">
      <protection locked="0"/>
    </xf>
    <xf numFmtId="10" fontId="1" fillId="4" borderId="24" xfId="14" applyNumberFormat="1" applyFill="1" applyBorder="1" applyAlignment="1" applyProtection="1">
      <protection locked="0"/>
    </xf>
    <xf numFmtId="0" fontId="1" fillId="0" borderId="0" xfId="14" applyAlignment="1">
      <alignment vertical="center"/>
    </xf>
    <xf numFmtId="0" fontId="1" fillId="0" borderId="0" xfId="14" applyFill="1" applyAlignment="1">
      <alignment vertical="center"/>
    </xf>
    <xf numFmtId="0" fontId="13" fillId="0" borderId="2" xfId="1" applyBorder="1" applyAlignment="1" applyProtection="1">
      <alignment horizontal="center" vertical="center"/>
    </xf>
    <xf numFmtId="0" fontId="1" fillId="6" borderId="24" xfId="14" applyFill="1" applyBorder="1" applyAlignment="1" applyProtection="1">
      <alignment horizontal="center"/>
    </xf>
    <xf numFmtId="0" fontId="37" fillId="23" borderId="2" xfId="10" applyBorder="1" applyAlignment="1" applyProtection="1">
      <alignment horizontal="center"/>
    </xf>
    <xf numFmtId="0" fontId="39" fillId="25" borderId="2" xfId="12" applyBorder="1" applyAlignment="1" applyProtection="1">
      <alignment horizontal="center"/>
    </xf>
    <xf numFmtId="0" fontId="41" fillId="26" borderId="2" xfId="13" applyBorder="1" applyAlignment="1" applyProtection="1">
      <alignment horizontal="center"/>
    </xf>
    <xf numFmtId="0" fontId="1" fillId="0" borderId="0" xfId="14" applyAlignment="1">
      <alignment wrapText="1" shrinkToFit="1"/>
    </xf>
    <xf numFmtId="164" fontId="38" fillId="24" borderId="2" xfId="11" applyNumberFormat="1" applyBorder="1" applyAlignment="1">
      <alignment horizontal="center" vertical="center"/>
    </xf>
    <xf numFmtId="0" fontId="1" fillId="4" borderId="2" xfId="14" applyNumberFormat="1" applyFill="1" applyBorder="1" applyAlignment="1" applyProtection="1">
      <alignment horizontal="center"/>
      <protection locked="0"/>
    </xf>
    <xf numFmtId="0" fontId="0" fillId="3" borderId="2" xfId="0" applyNumberFormat="1" applyFill="1" applyBorder="1"/>
    <xf numFmtId="164" fontId="1" fillId="4" borderId="2" xfId="14" applyNumberFormat="1" applyFill="1" applyBorder="1" applyAlignment="1" applyProtection="1">
      <alignment horizontal="center"/>
      <protection locked="0"/>
    </xf>
    <xf numFmtId="0" fontId="1" fillId="4" borderId="24" xfId="14" applyNumberFormat="1" applyFill="1" applyBorder="1" applyAlignment="1" applyProtection="1">
      <alignment horizontal="center"/>
      <protection locked="0"/>
    </xf>
    <xf numFmtId="164" fontId="1" fillId="4" borderId="24" xfId="14" applyNumberFormat="1" applyFill="1" applyBorder="1" applyAlignment="1" applyProtection="1">
      <alignment horizontal="center"/>
      <protection locked="0"/>
    </xf>
    <xf numFmtId="164" fontId="47" fillId="8" borderId="2" xfId="0" applyNumberFormat="1" applyFont="1" applyFill="1" applyBorder="1" applyProtection="1"/>
    <xf numFmtId="164" fontId="47" fillId="2" borderId="2" xfId="0" applyNumberFormat="1" applyFont="1" applyFill="1" applyBorder="1" applyProtection="1"/>
    <xf numFmtId="164" fontId="47" fillId="0" borderId="2" xfId="0" applyNumberFormat="1" applyFont="1" applyBorder="1" applyProtection="1"/>
    <xf numFmtId="0" fontId="7" fillId="0" borderId="0" xfId="0" applyFont="1" applyAlignment="1">
      <alignment horizontal="center"/>
    </xf>
    <xf numFmtId="0" fontId="50" fillId="0" borderId="0" xfId="0" applyFont="1" applyAlignment="1">
      <alignment horizontal="left" vertical="top" wrapText="1"/>
    </xf>
    <xf numFmtId="0" fontId="9" fillId="0" borderId="0" xfId="0" applyFont="1" applyAlignment="1">
      <alignment horizontal="left" vertical="top" wrapText="1"/>
    </xf>
    <xf numFmtId="0" fontId="0" fillId="4" borderId="1" xfId="0" applyFill="1" applyBorder="1" applyAlignment="1" applyProtection="1">
      <alignment horizontal="center"/>
      <protection locked="0"/>
    </xf>
    <xf numFmtId="0" fontId="0" fillId="4" borderId="13" xfId="0" applyFill="1" applyBorder="1" applyAlignment="1" applyProtection="1">
      <alignment horizontal="center"/>
      <protection locked="0"/>
    </xf>
    <xf numFmtId="0" fontId="0" fillId="4" borderId="3" xfId="0" applyFill="1" applyBorder="1" applyAlignment="1" applyProtection="1">
      <alignment horizontal="center"/>
      <protection locked="0"/>
    </xf>
    <xf numFmtId="0" fontId="0" fillId="0" borderId="11" xfId="0" applyBorder="1" applyAlignment="1">
      <alignment horizontal="left"/>
    </xf>
    <xf numFmtId="2" fontId="17" fillId="0" borderId="5" xfId="0" applyNumberFormat="1" applyFont="1" applyBorder="1" applyAlignment="1" applyProtection="1">
      <alignment horizontal="right" shrinkToFit="1"/>
    </xf>
    <xf numFmtId="2" fontId="17" fillId="0" borderId="0" xfId="0" applyNumberFormat="1" applyFont="1" applyBorder="1" applyAlignment="1" applyProtection="1">
      <alignment horizontal="right" shrinkToFit="1"/>
    </xf>
    <xf numFmtId="2" fontId="17" fillId="0" borderId="6" xfId="0" applyNumberFormat="1" applyFont="1" applyBorder="1" applyAlignment="1" applyProtection="1">
      <alignment horizontal="right" shrinkToFit="1"/>
    </xf>
    <xf numFmtId="164" fontId="0" fillId="31" borderId="1" xfId="0" applyNumberFormat="1" applyFill="1" applyBorder="1" applyAlignment="1" applyProtection="1">
      <alignment horizontal="center"/>
      <protection locked="0"/>
    </xf>
    <xf numFmtId="164" fontId="0" fillId="31" borderId="3" xfId="0" applyNumberFormat="1" applyFill="1" applyBorder="1" applyAlignment="1" applyProtection="1">
      <alignment horizontal="center"/>
      <protection locked="0"/>
    </xf>
    <xf numFmtId="0" fontId="17" fillId="0" borderId="0" xfId="0" applyFont="1" applyAlignment="1">
      <alignment horizontal="left" vertical="center" wrapText="1"/>
    </xf>
    <xf numFmtId="0" fontId="49" fillId="0" borderId="0" xfId="0" applyFont="1" applyAlignment="1">
      <alignment horizontal="left" vertical="center" wrapText="1"/>
    </xf>
    <xf numFmtId="0" fontId="23" fillId="2" borderId="0" xfId="0" applyFont="1" applyFill="1" applyAlignment="1" applyProtection="1">
      <alignment horizontal="right"/>
    </xf>
    <xf numFmtId="0" fontId="24" fillId="2" borderId="0" xfId="0" applyFont="1" applyFill="1" applyAlignment="1" applyProtection="1">
      <alignment horizontal="right"/>
    </xf>
    <xf numFmtId="0" fontId="17" fillId="16" borderId="1" xfId="0" applyFont="1" applyFill="1" applyBorder="1" applyAlignment="1" applyProtection="1">
      <alignment horizontal="center" shrinkToFit="1"/>
    </xf>
    <xf numFmtId="0" fontId="9" fillId="16" borderId="13" xfId="0" applyFont="1" applyFill="1" applyBorder="1" applyAlignment="1" applyProtection="1">
      <alignment horizontal="center" shrinkToFit="1"/>
    </xf>
    <xf numFmtId="0" fontId="9" fillId="16" borderId="3" xfId="0" applyFont="1" applyFill="1" applyBorder="1" applyAlignment="1" applyProtection="1">
      <alignment horizontal="center" shrinkToFit="1"/>
    </xf>
    <xf numFmtId="0" fontId="9" fillId="16" borderId="1" xfId="0" applyFont="1" applyFill="1" applyBorder="1" applyAlignment="1" applyProtection="1">
      <alignment horizontal="center" shrinkToFit="1"/>
    </xf>
    <xf numFmtId="164" fontId="9" fillId="16" borderId="0" xfId="0" applyNumberFormat="1" applyFont="1" applyFill="1" applyAlignment="1" applyProtection="1">
      <alignment horizontal="center" shrinkToFit="1"/>
    </xf>
    <xf numFmtId="0" fontId="0" fillId="16" borderId="0" xfId="0" applyFill="1" applyAlignment="1" applyProtection="1">
      <alignment horizontal="center" shrinkToFit="1"/>
    </xf>
    <xf numFmtId="0" fontId="9" fillId="0" borderId="11" xfId="0" applyFont="1" applyBorder="1" applyAlignment="1" applyProtection="1"/>
    <xf numFmtId="164" fontId="9" fillId="0" borderId="11" xfId="0" applyNumberFormat="1" applyFont="1" applyBorder="1" applyAlignment="1" applyProtection="1"/>
    <xf numFmtId="0" fontId="9" fillId="0" borderId="0" xfId="0" applyFont="1" applyAlignment="1" applyProtection="1">
      <alignment horizontal="right"/>
    </xf>
    <xf numFmtId="0" fontId="23" fillId="8" borderId="0" xfId="0" applyFont="1" applyFill="1" applyAlignment="1" applyProtection="1">
      <alignment horizontal="right"/>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9" fillId="16" borderId="2" xfId="0" applyFont="1" applyFill="1" applyBorder="1" applyAlignment="1" applyProtection="1">
      <alignment shrinkToFit="1"/>
    </xf>
    <xf numFmtId="0" fontId="23" fillId="8" borderId="6" xfId="0" applyFont="1" applyFill="1" applyBorder="1" applyAlignment="1" applyProtection="1">
      <alignment horizontal="right"/>
    </xf>
    <xf numFmtId="0" fontId="5" fillId="0" borderId="0" xfId="0" applyFont="1" applyAlignment="1" applyProtection="1">
      <alignment horizontal="center"/>
    </xf>
    <xf numFmtId="0" fontId="0" fillId="0" borderId="0" xfId="0" applyAlignment="1" applyProtection="1">
      <alignment horizontal="center"/>
    </xf>
    <xf numFmtId="0" fontId="9" fillId="0" borderId="6" xfId="0" applyFont="1" applyBorder="1" applyAlignment="1" applyProtection="1">
      <alignment horizontal="right"/>
    </xf>
    <xf numFmtId="0" fontId="33" fillId="13" borderId="0" xfId="0" applyFont="1" applyFill="1" applyAlignment="1"/>
    <xf numFmtId="0" fontId="18" fillId="2" borderId="1" xfId="0" applyFont="1" applyFill="1" applyBorder="1" applyProtection="1"/>
    <xf numFmtId="0" fontId="18" fillId="2" borderId="13" xfId="0" applyFont="1" applyFill="1" applyBorder="1" applyProtection="1"/>
    <xf numFmtId="0" fontId="6" fillId="0" borderId="0" xfId="0" applyFont="1" applyAlignment="1" applyProtection="1">
      <alignment horizontal="center" vertical="center" wrapText="1"/>
    </xf>
    <xf numFmtId="0" fontId="0" fillId="0" borderId="0" xfId="0" applyAlignment="1" applyProtection="1">
      <alignment horizontal="center" vertical="center" wrapText="1"/>
    </xf>
    <xf numFmtId="0" fontId="17" fillId="3" borderId="1" xfId="0" applyFont="1" applyFill="1" applyBorder="1" applyAlignment="1" applyProtection="1"/>
    <xf numFmtId="0" fontId="0" fillId="0" borderId="13" xfId="0" applyBorder="1" applyAlignment="1" applyProtection="1"/>
    <xf numFmtId="0" fontId="0" fillId="0" borderId="3" xfId="0" applyBorder="1" applyAlignment="1" applyProtection="1"/>
    <xf numFmtId="0" fontId="0" fillId="3" borderId="13" xfId="0" applyFill="1" applyBorder="1" applyAlignment="1" applyProtection="1"/>
    <xf numFmtId="0" fontId="0" fillId="3" borderId="3" xfId="0" applyFill="1" applyBorder="1" applyAlignment="1" applyProtection="1"/>
    <xf numFmtId="0" fontId="46" fillId="0" borderId="0" xfId="0" applyFont="1" applyAlignment="1" applyProtection="1">
      <alignment horizontal="right"/>
    </xf>
    <xf numFmtId="0" fontId="10" fillId="0" borderId="0" xfId="0" applyFont="1" applyProtection="1"/>
    <xf numFmtId="0" fontId="6" fillId="15" borderId="0" xfId="0" applyFont="1" applyFill="1" applyAlignment="1" applyProtection="1">
      <alignment horizontal="center" vertical="center" wrapText="1"/>
    </xf>
    <xf numFmtId="0" fontId="0" fillId="0" borderId="11" xfId="0" applyBorder="1" applyAlignment="1" applyProtection="1">
      <alignment horizontal="center" vertical="center" wrapText="1"/>
    </xf>
    <xf numFmtId="0" fontId="0" fillId="0" borderId="0" xfId="0" applyAlignment="1" applyProtection="1">
      <alignment horizontal="right"/>
    </xf>
    <xf numFmtId="0" fontId="10" fillId="2" borderId="1" xfId="0" applyFont="1" applyFill="1" applyBorder="1" applyAlignment="1" applyProtection="1">
      <alignment horizontal="center"/>
    </xf>
    <xf numFmtId="0" fontId="10" fillId="2" borderId="5" xfId="0" applyFont="1" applyFill="1" applyBorder="1" applyAlignment="1" applyProtection="1">
      <alignment horizontal="right"/>
    </xf>
    <xf numFmtId="0" fontId="0" fillId="0" borderId="0" xfId="0" applyBorder="1" applyAlignment="1" applyProtection="1">
      <alignment horizontal="right"/>
    </xf>
    <xf numFmtId="0" fontId="0" fillId="0" borderId="6" xfId="0" applyBorder="1" applyAlignment="1" applyProtection="1"/>
    <xf numFmtId="0" fontId="0" fillId="6" borderId="1" xfId="0" applyFill="1" applyBorder="1" applyAlignment="1">
      <alignment horizontal="right"/>
    </xf>
    <xf numFmtId="0" fontId="0" fillId="6" borderId="3" xfId="0" applyFill="1" applyBorder="1" applyAlignment="1">
      <alignment horizontal="right"/>
    </xf>
    <xf numFmtId="164" fontId="0" fillId="4" borderId="1" xfId="0" applyNumberFormat="1" applyFill="1" applyBorder="1" applyAlignment="1" applyProtection="1">
      <alignment horizontal="center"/>
      <protection locked="0"/>
    </xf>
    <xf numFmtId="164" fontId="0" fillId="4" borderId="3" xfId="0" applyNumberFormat="1" applyFill="1" applyBorder="1" applyAlignment="1" applyProtection="1">
      <alignment horizontal="center"/>
      <protection locked="0"/>
    </xf>
    <xf numFmtId="0" fontId="0" fillId="6" borderId="2" xfId="0" applyFill="1" applyBorder="1" applyAlignment="1" applyProtection="1">
      <alignment horizontal="right"/>
    </xf>
    <xf numFmtId="0" fontId="0" fillId="6" borderId="2" xfId="0" applyFill="1" applyBorder="1" applyAlignment="1">
      <alignment horizontal="right"/>
    </xf>
    <xf numFmtId="0" fontId="10" fillId="2" borderId="5" xfId="0" applyFont="1" applyFill="1" applyBorder="1" applyAlignment="1" applyProtection="1">
      <alignment horizontal="center"/>
    </xf>
    <xf numFmtId="0" fontId="10" fillId="2" borderId="0" xfId="0" applyFont="1" applyFill="1" applyBorder="1" applyAlignment="1" applyProtection="1">
      <alignment horizontal="center"/>
    </xf>
    <xf numFmtId="0" fontId="10" fillId="2" borderId="6" xfId="0" applyFont="1" applyFill="1" applyBorder="1" applyAlignment="1" applyProtection="1">
      <alignment horizontal="center"/>
    </xf>
    <xf numFmtId="0" fontId="0" fillId="0" borderId="0" xfId="0" applyAlignment="1">
      <alignment horizontal="center" vertical="center" wrapText="1"/>
    </xf>
    <xf numFmtId="0" fontId="10" fillId="6" borderId="5" xfId="0" applyFont="1" applyFill="1" applyBorder="1" applyAlignment="1" applyProtection="1">
      <alignment horizontal="right"/>
    </xf>
    <xf numFmtId="0" fontId="0" fillId="6" borderId="0" xfId="0" applyFill="1" applyAlignment="1" applyProtection="1">
      <alignment horizontal="right"/>
    </xf>
    <xf numFmtId="0" fontId="0" fillId="6" borderId="6" xfId="0" applyFill="1" applyBorder="1" applyAlignment="1" applyProtection="1">
      <alignment horizontal="right"/>
    </xf>
    <xf numFmtId="0" fontId="10" fillId="6" borderId="0" xfId="0" applyFont="1" applyFill="1" applyAlignment="1" applyProtection="1">
      <alignment horizontal="right"/>
    </xf>
    <xf numFmtId="0" fontId="0" fillId="0" borderId="0" xfId="0" applyAlignment="1" applyProtection="1"/>
    <xf numFmtId="0" fontId="15" fillId="13" borderId="0" xfId="0" applyFont="1" applyFill="1" applyAlignment="1">
      <alignment horizontal="left"/>
    </xf>
    <xf numFmtId="0" fontId="0" fillId="0" borderId="5" xfId="0" applyBorder="1" applyAlignment="1">
      <alignment horizontal="center"/>
    </xf>
    <xf numFmtId="0" fontId="0" fillId="0" borderId="0" xfId="0" applyBorder="1" applyAlignment="1">
      <alignment horizontal="center"/>
    </xf>
    <xf numFmtId="0" fontId="0" fillId="0" borderId="6" xfId="0" applyBorder="1" applyAlignment="1">
      <alignment horizontal="center"/>
    </xf>
    <xf numFmtId="0" fontId="0" fillId="0" borderId="5" xfId="0" applyFill="1" applyBorder="1" applyAlignment="1">
      <alignment horizontal="center"/>
    </xf>
    <xf numFmtId="0" fontId="0" fillId="0" borderId="0" xfId="0" applyFill="1" applyBorder="1" applyAlignment="1">
      <alignment horizontal="center"/>
    </xf>
    <xf numFmtId="0" fontId="0" fillId="0" borderId="6" xfId="0" applyFill="1" applyBorder="1" applyAlignment="1">
      <alignment horizontal="center"/>
    </xf>
    <xf numFmtId="0" fontId="1" fillId="0" borderId="1" xfId="14" applyFill="1" applyBorder="1" applyAlignment="1">
      <alignment horizontal="left" vertical="top" wrapText="1"/>
    </xf>
    <xf numFmtId="0" fontId="1" fillId="0" borderId="13" xfId="14" applyFill="1" applyBorder="1" applyAlignment="1">
      <alignment horizontal="left" vertical="top" wrapText="1"/>
    </xf>
    <xf numFmtId="0" fontId="1" fillId="0" borderId="3" xfId="14" applyFill="1" applyBorder="1" applyAlignment="1">
      <alignment horizontal="left" vertical="top" wrapText="1"/>
    </xf>
    <xf numFmtId="0" fontId="43" fillId="0" borderId="1" xfId="0" applyFont="1" applyBorder="1" applyAlignment="1" applyProtection="1">
      <alignment horizontal="center" vertical="center" wrapText="1" shrinkToFit="1"/>
    </xf>
    <xf numFmtId="0" fontId="43" fillId="0" borderId="13" xfId="0" applyFont="1" applyBorder="1" applyAlignment="1" applyProtection="1">
      <alignment horizontal="center" vertical="center" wrapText="1" shrinkToFit="1"/>
    </xf>
    <xf numFmtId="0" fontId="43" fillId="0" borderId="3" xfId="0" applyFont="1" applyBorder="1" applyAlignment="1" applyProtection="1">
      <alignment horizontal="center" vertical="center" wrapText="1" shrinkToFit="1"/>
    </xf>
    <xf numFmtId="0" fontId="15" fillId="13" borderId="0" xfId="14" applyFont="1" applyFill="1" applyAlignment="1">
      <alignment horizontal="center"/>
    </xf>
    <xf numFmtId="0" fontId="15" fillId="0" borderId="11" xfId="14" applyFont="1" applyFill="1" applyBorder="1" applyAlignment="1">
      <alignment horizontal="center" vertical="center" wrapText="1"/>
    </xf>
    <xf numFmtId="0" fontId="1" fillId="0" borderId="1" xfId="14" applyFill="1" applyBorder="1" applyAlignment="1" applyProtection="1">
      <alignment horizontal="left" vertical="top" wrapText="1"/>
    </xf>
    <xf numFmtId="0" fontId="1" fillId="0" borderId="13" xfId="14" applyFill="1" applyBorder="1" applyAlignment="1" applyProtection="1">
      <alignment horizontal="left" vertical="top" wrapText="1"/>
    </xf>
    <xf numFmtId="0" fontId="1" fillId="0" borderId="9" xfId="14" applyFill="1" applyBorder="1" applyAlignment="1" applyProtection="1">
      <alignment horizontal="left" vertical="top" wrapText="1"/>
    </xf>
    <xf numFmtId="0" fontId="1" fillId="0" borderId="12" xfId="14" applyFill="1" applyBorder="1" applyAlignment="1" applyProtection="1">
      <alignment horizontal="left" vertical="top" wrapText="1"/>
    </xf>
    <xf numFmtId="0" fontId="42" fillId="0" borderId="2" xfId="15" applyBorder="1" applyAlignment="1">
      <alignment horizontal="center" vertical="center"/>
    </xf>
    <xf numFmtId="0" fontId="0" fillId="6" borderId="1" xfId="0" applyFill="1" applyBorder="1" applyAlignment="1">
      <alignment horizontal="left"/>
    </xf>
    <xf numFmtId="0" fontId="0" fillId="0" borderId="13" xfId="0" applyBorder="1" applyAlignment="1"/>
    <xf numFmtId="0" fontId="0" fillId="0" borderId="3" xfId="0" applyBorder="1" applyAlignment="1"/>
    <xf numFmtId="0" fontId="0" fillId="4" borderId="13" xfId="0" applyFill="1" applyBorder="1" applyAlignment="1" applyProtection="1">
      <alignment horizontal="right"/>
      <protection locked="0"/>
    </xf>
    <xf numFmtId="0" fontId="0" fillId="4" borderId="3" xfId="0" applyFill="1" applyBorder="1" applyAlignment="1" applyProtection="1">
      <protection locked="0"/>
    </xf>
    <xf numFmtId="0" fontId="0" fillId="2" borderId="1" xfId="0" applyFill="1" applyBorder="1" applyAlignment="1">
      <alignment horizontal="right"/>
    </xf>
    <xf numFmtId="0" fontId="0" fillId="2" borderId="3" xfId="0" applyFill="1" applyBorder="1" applyAlignment="1">
      <alignment horizontal="right"/>
    </xf>
    <xf numFmtId="0" fontId="0" fillId="3" borderId="1" xfId="0" applyNumberFormat="1" applyFill="1" applyBorder="1" applyAlignment="1">
      <alignment horizontal="left"/>
    </xf>
    <xf numFmtId="0" fontId="0" fillId="3" borderId="3" xfId="0" applyNumberFormat="1" applyFill="1" applyBorder="1" applyAlignment="1">
      <alignment horizontal="left"/>
    </xf>
    <xf numFmtId="0" fontId="0" fillId="0" borderId="5" xfId="0" applyBorder="1" applyAlignment="1">
      <alignment horizontal="right" shrinkToFit="1"/>
    </xf>
    <xf numFmtId="0" fontId="0" fillId="0" borderId="6" xfId="0" applyBorder="1" applyAlignment="1">
      <alignment horizontal="right" shrinkToFit="1"/>
    </xf>
    <xf numFmtId="0" fontId="0" fillId="22" borderId="5" xfId="0" applyFill="1" applyBorder="1" applyAlignment="1">
      <alignment horizontal="right"/>
    </xf>
    <xf numFmtId="0" fontId="0" fillId="22" borderId="0" xfId="0" applyFill="1" applyAlignment="1">
      <alignment horizontal="right"/>
    </xf>
    <xf numFmtId="0" fontId="0" fillId="22" borderId="6" xfId="0" applyFill="1" applyBorder="1" applyAlignment="1">
      <alignment horizontal="right"/>
    </xf>
    <xf numFmtId="0" fontId="0" fillId="0" borderId="0" xfId="0" applyAlignment="1">
      <alignment shrinkToFit="1"/>
    </xf>
    <xf numFmtId="0" fontId="0" fillId="0" borderId="6" xfId="0" applyBorder="1" applyAlignment="1">
      <alignment shrinkToFit="1"/>
    </xf>
    <xf numFmtId="164" fontId="0" fillId="3" borderId="1" xfId="0" applyNumberFormat="1" applyFill="1" applyBorder="1" applyAlignment="1">
      <alignment horizontal="left"/>
    </xf>
    <xf numFmtId="164" fontId="0" fillId="3" borderId="3" xfId="0" applyNumberFormat="1" applyFill="1" applyBorder="1" applyAlignment="1">
      <alignment horizontal="left"/>
    </xf>
    <xf numFmtId="0" fontId="0" fillId="0" borderId="5" xfId="0" applyBorder="1" applyAlignment="1">
      <alignment horizontal="right"/>
    </xf>
    <xf numFmtId="0" fontId="0" fillId="0" borderId="6" xfId="0" applyBorder="1" applyAlignment="1">
      <alignment horizontal="right"/>
    </xf>
    <xf numFmtId="0" fontId="13" fillId="0" borderId="0" xfId="1" applyAlignment="1" applyProtection="1"/>
    <xf numFmtId="0" fontId="11" fillId="0" borderId="0" xfId="0" applyFont="1" applyAlignment="1" applyProtection="1">
      <alignment shrinkToFit="1"/>
    </xf>
    <xf numFmtId="0" fontId="11" fillId="0" borderId="0" xfId="0" applyFont="1" applyAlignment="1">
      <alignment shrinkToFit="1"/>
    </xf>
    <xf numFmtId="0" fontId="15" fillId="13" borderId="0" xfId="0" applyFont="1" applyFill="1" applyAlignment="1"/>
    <xf numFmtId="0" fontId="0" fillId="0" borderId="0" xfId="0" applyAlignment="1"/>
    <xf numFmtId="0" fontId="0" fillId="0" borderId="0" xfId="0" applyAlignment="1">
      <alignment horizontal="right"/>
    </xf>
    <xf numFmtId="0" fontId="0" fillId="3" borderId="1" xfId="0" applyFill="1" applyBorder="1" applyAlignment="1">
      <alignment horizontal="left"/>
    </xf>
    <xf numFmtId="0" fontId="0" fillId="3" borderId="3" xfId="0" applyFill="1" applyBorder="1" applyAlignment="1">
      <alignment horizontal="left"/>
    </xf>
    <xf numFmtId="0" fontId="0" fillId="0" borderId="3" xfId="0" applyBorder="1" applyAlignment="1">
      <alignment horizontal="right"/>
    </xf>
    <xf numFmtId="10" fontId="0" fillId="3" borderId="1" xfId="0" applyNumberFormat="1" applyFill="1" applyBorder="1" applyAlignment="1">
      <alignment horizontal="left"/>
    </xf>
    <xf numFmtId="10" fontId="0" fillId="3" borderId="3" xfId="0" applyNumberFormat="1" applyFill="1" applyBorder="1" applyAlignment="1">
      <alignment horizontal="left"/>
    </xf>
    <xf numFmtId="49" fontId="0" fillId="4" borderId="2" xfId="0" applyNumberFormat="1" applyFill="1" applyBorder="1" applyAlignment="1" applyProtection="1">
      <protection locked="0"/>
    </xf>
    <xf numFmtId="0" fontId="0" fillId="0" borderId="2" xfId="0" applyBorder="1" applyAlignment="1"/>
    <xf numFmtId="0" fontId="0" fillId="4" borderId="1" xfId="0" applyFill="1" applyBorder="1" applyAlignment="1" applyProtection="1">
      <alignment horizontal="left"/>
      <protection locked="0"/>
    </xf>
    <xf numFmtId="0" fontId="0" fillId="4" borderId="3" xfId="0" applyFill="1" applyBorder="1" applyAlignment="1" applyProtection="1">
      <alignment horizontal="left"/>
      <protection locked="0"/>
    </xf>
    <xf numFmtId="0" fontId="0" fillId="2" borderId="1" xfId="0" applyFill="1" applyBorder="1" applyAlignment="1">
      <alignment horizontal="right" shrinkToFit="1"/>
    </xf>
    <xf numFmtId="0" fontId="0" fillId="2" borderId="3" xfId="0" applyFill="1" applyBorder="1" applyAlignment="1">
      <alignment horizontal="right" shrinkToFit="1"/>
    </xf>
    <xf numFmtId="0" fontId="0" fillId="0" borderId="5" xfId="0" applyFill="1" applyBorder="1" applyAlignment="1">
      <alignment horizontal="right"/>
    </xf>
    <xf numFmtId="0" fontId="0" fillId="0" borderId="6" xfId="0" applyFill="1" applyBorder="1" applyAlignment="1">
      <alignment horizontal="right"/>
    </xf>
    <xf numFmtId="0" fontId="12" fillId="4" borderId="2" xfId="0" applyFont="1" applyFill="1" applyBorder="1" applyAlignment="1" applyProtection="1">
      <protection locked="0"/>
    </xf>
    <xf numFmtId="0" fontId="0" fillId="4" borderId="2" xfId="0" applyFill="1" applyBorder="1" applyAlignment="1" applyProtection="1">
      <protection locked="0"/>
    </xf>
    <xf numFmtId="0" fontId="12" fillId="0" borderId="2" xfId="0" applyFont="1" applyFill="1" applyBorder="1" applyAlignment="1" applyProtection="1"/>
    <xf numFmtId="0" fontId="12" fillId="5" borderId="1" xfId="0" applyFont="1" applyFill="1" applyBorder="1" applyAlignment="1" applyProtection="1">
      <protection locked="0"/>
    </xf>
    <xf numFmtId="0" fontId="0" fillId="0" borderId="3" xfId="0" applyBorder="1" applyAlignment="1" applyProtection="1">
      <protection locked="0"/>
    </xf>
    <xf numFmtId="0" fontId="10" fillId="0" borderId="0" xfId="0" applyFont="1" applyAlignment="1" applyProtection="1">
      <alignment horizontal="right"/>
    </xf>
    <xf numFmtId="0" fontId="11" fillId="3" borderId="1" xfId="0" applyFont="1" applyFill="1" applyBorder="1" applyAlignment="1" applyProtection="1"/>
    <xf numFmtId="0" fontId="12" fillId="0" borderId="2" xfId="0" applyFont="1" applyBorder="1" applyAlignment="1" applyProtection="1"/>
    <xf numFmtId="0" fontId="0" fillId="5" borderId="1" xfId="0" applyFill="1" applyBorder="1" applyAlignment="1" applyProtection="1">
      <protection locked="0"/>
    </xf>
    <xf numFmtId="0" fontId="12" fillId="5" borderId="7" xfId="0" applyFont="1" applyFill="1" applyBorder="1" applyAlignment="1" applyProtection="1">
      <protection locked="0"/>
    </xf>
    <xf numFmtId="0" fontId="0" fillId="0" borderId="8" xfId="0" applyBorder="1" applyAlignment="1" applyProtection="1">
      <protection locked="0"/>
    </xf>
    <xf numFmtId="0" fontId="0" fillId="0" borderId="5" xfId="0" applyFont="1" applyFill="1" applyBorder="1" applyAlignment="1">
      <alignment horizontal="center" shrinkToFit="1"/>
    </xf>
    <xf numFmtId="0" fontId="4" fillId="0" borderId="6" xfId="0" applyFont="1" applyFill="1" applyBorder="1" applyAlignment="1">
      <alignment horizontal="center" shrinkToFit="1"/>
    </xf>
    <xf numFmtId="0" fontId="0" fillId="0" borderId="5" xfId="0" applyBorder="1" applyAlignment="1" applyProtection="1">
      <alignment horizontal="center"/>
    </xf>
    <xf numFmtId="0" fontId="0" fillId="0" borderId="6" xfId="0" applyBorder="1" applyAlignment="1" applyProtection="1">
      <alignment horizontal="center"/>
    </xf>
    <xf numFmtId="0" fontId="2" fillId="2" borderId="9" xfId="0" applyFont="1" applyFill="1" applyBorder="1" applyAlignment="1" applyProtection="1"/>
    <xf numFmtId="0" fontId="2" fillId="2" borderId="12" xfId="0" applyFont="1" applyFill="1" applyBorder="1" applyAlignment="1" applyProtection="1"/>
    <xf numFmtId="0" fontId="2" fillId="2" borderId="4" xfId="0" applyFont="1" applyFill="1" applyBorder="1" applyAlignment="1" applyProtection="1"/>
    <xf numFmtId="0" fontId="10" fillId="10" borderId="1" xfId="0" applyFont="1" applyFill="1" applyBorder="1" applyAlignment="1" applyProtection="1"/>
    <xf numFmtId="0" fontId="0" fillId="0" borderId="12" xfId="0" applyBorder="1" applyAlignment="1" applyProtection="1"/>
    <xf numFmtId="0" fontId="0" fillId="0" borderId="4" xfId="0" applyBorder="1" applyAlignment="1" applyProtection="1"/>
    <xf numFmtId="0" fontId="0" fillId="14" borderId="1" xfId="0" applyNumberFormat="1" applyFill="1" applyBorder="1" applyAlignment="1" applyProtection="1">
      <alignment horizontal="left" shrinkToFit="1"/>
    </xf>
    <xf numFmtId="0" fontId="0" fillId="14" borderId="13" xfId="0" applyNumberFormat="1" applyFill="1" applyBorder="1" applyAlignment="1" applyProtection="1">
      <alignment horizontal="left" shrinkToFit="1"/>
    </xf>
    <xf numFmtId="0" fontId="0" fillId="14" borderId="3" xfId="0" applyNumberFormat="1" applyFill="1" applyBorder="1" applyAlignment="1" applyProtection="1">
      <alignment horizontal="left" shrinkToFit="1"/>
    </xf>
    <xf numFmtId="0" fontId="0" fillId="0" borderId="1" xfId="0" applyNumberFormat="1" applyBorder="1" applyAlignment="1" applyProtection="1">
      <alignment horizontal="left" shrinkToFit="1"/>
    </xf>
    <xf numFmtId="0" fontId="0" fillId="0" borderId="13" xfId="0" applyNumberFormat="1" applyBorder="1" applyAlignment="1" applyProtection="1">
      <alignment horizontal="left" shrinkToFit="1"/>
    </xf>
    <xf numFmtId="0" fontId="0" fillId="0" borderId="3" xfId="0" applyNumberFormat="1" applyBorder="1" applyAlignment="1" applyProtection="1">
      <alignment horizontal="left" shrinkToFit="1"/>
    </xf>
    <xf numFmtId="0" fontId="30" fillId="0" borderId="11" xfId="0" applyFont="1" applyBorder="1" applyAlignment="1" applyProtection="1"/>
    <xf numFmtId="0" fontId="31" fillId="0" borderId="11" xfId="0" applyFont="1" applyBorder="1" applyAlignment="1" applyProtection="1"/>
    <xf numFmtId="0" fontId="32" fillId="8" borderId="16" xfId="0" applyFont="1" applyFill="1" applyBorder="1" applyAlignment="1" applyProtection="1">
      <alignment horizontal="center" vertical="center" wrapText="1"/>
    </xf>
    <xf numFmtId="0" fontId="0" fillId="8" borderId="17" xfId="0" applyFill="1" applyBorder="1" applyAlignment="1" applyProtection="1">
      <alignment horizontal="center" vertical="center" wrapText="1"/>
    </xf>
    <xf numFmtId="0" fontId="0" fillId="8" borderId="18" xfId="0" applyFill="1" applyBorder="1" applyAlignment="1" applyProtection="1">
      <alignment horizontal="center" vertical="center" wrapText="1"/>
    </xf>
    <xf numFmtId="0" fontId="0" fillId="8" borderId="19" xfId="0" applyFill="1" applyBorder="1" applyAlignment="1" applyProtection="1">
      <alignment horizontal="center" vertical="center" wrapText="1"/>
    </xf>
    <xf numFmtId="0" fontId="0" fillId="8" borderId="0" xfId="0" applyFill="1" applyBorder="1" applyAlignment="1" applyProtection="1">
      <alignment horizontal="center" vertical="center" wrapText="1"/>
    </xf>
    <xf numFmtId="0" fontId="0" fillId="8" borderId="20" xfId="0" applyFill="1" applyBorder="1" applyAlignment="1" applyProtection="1">
      <alignment horizontal="center" vertical="center" wrapText="1"/>
    </xf>
    <xf numFmtId="0" fontId="0" fillId="0" borderId="19" xfId="0" applyBorder="1" applyAlignment="1" applyProtection="1">
      <alignment vertical="center"/>
    </xf>
    <xf numFmtId="0" fontId="0" fillId="0" borderId="0" xfId="0" applyBorder="1" applyAlignment="1" applyProtection="1">
      <alignment vertical="center"/>
    </xf>
    <xf numFmtId="0" fontId="0" fillId="0" borderId="20" xfId="0" applyBorder="1" applyAlignment="1" applyProtection="1">
      <alignment vertical="center"/>
    </xf>
    <xf numFmtId="0" fontId="0" fillId="0" borderId="21" xfId="0" applyBorder="1" applyAlignment="1" applyProtection="1">
      <alignment vertical="center"/>
    </xf>
    <xf numFmtId="0" fontId="0" fillId="0" borderId="22" xfId="0" applyBorder="1" applyAlignment="1" applyProtection="1">
      <alignment vertical="center"/>
    </xf>
    <xf numFmtId="0" fontId="0" fillId="0" borderId="23" xfId="0" applyBorder="1" applyAlignment="1" applyProtection="1">
      <alignment vertical="center"/>
    </xf>
    <xf numFmtId="0" fontId="0" fillId="0" borderId="9" xfId="0" applyBorder="1" applyAlignment="1" applyProtection="1">
      <alignment vertical="top"/>
      <protection locked="0"/>
    </xf>
    <xf numFmtId="0" fontId="0" fillId="0" borderId="12" xfId="0" applyBorder="1" applyAlignment="1" applyProtection="1">
      <alignment vertical="top"/>
      <protection locked="0"/>
    </xf>
    <xf numFmtId="0" fontId="0" fillId="0" borderId="4" xfId="0" applyBorder="1" applyAlignment="1" applyProtection="1">
      <alignment vertical="top"/>
      <protection locked="0"/>
    </xf>
    <xf numFmtId="0" fontId="0" fillId="0" borderId="7" xfId="0" applyBorder="1" applyAlignment="1" applyProtection="1">
      <alignment vertical="top"/>
      <protection locked="0"/>
    </xf>
    <xf numFmtId="0" fontId="0" fillId="0" borderId="11" xfId="0" applyBorder="1" applyAlignment="1" applyProtection="1">
      <alignment vertical="top"/>
      <protection locked="0"/>
    </xf>
    <xf numFmtId="0" fontId="0" fillId="0" borderId="8" xfId="0" applyBorder="1" applyAlignment="1" applyProtection="1">
      <alignment vertical="top"/>
      <protection locked="0"/>
    </xf>
    <xf numFmtId="0" fontId="0" fillId="0" borderId="2" xfId="0" applyNumberFormat="1" applyBorder="1" applyAlignment="1" applyProtection="1">
      <alignment shrinkToFit="1"/>
    </xf>
    <xf numFmtId="0" fontId="0" fillId="14" borderId="2" xfId="0" applyNumberFormat="1" applyFill="1" applyBorder="1" applyAlignment="1" applyProtection="1">
      <alignment shrinkToFit="1"/>
    </xf>
    <xf numFmtId="0" fontId="0" fillId="3" borderId="2" xfId="0" applyFill="1" applyBorder="1" applyAlignment="1" applyProtection="1">
      <alignment shrinkToFit="1"/>
    </xf>
    <xf numFmtId="0" fontId="0" fillId="14" borderId="2" xfId="0" applyNumberFormat="1" applyFill="1" applyBorder="1" applyAlignment="1" applyProtection="1">
      <alignment horizontal="left" shrinkToFit="1"/>
    </xf>
    <xf numFmtId="0" fontId="0" fillId="0" borderId="2" xfId="0" applyNumberFormat="1" applyBorder="1" applyAlignment="1" applyProtection="1">
      <alignment horizontal="left" shrinkToFit="1"/>
    </xf>
    <xf numFmtId="0" fontId="0" fillId="0" borderId="0" xfId="0" applyProtection="1"/>
    <xf numFmtId="0" fontId="0" fillId="0" borderId="6" xfId="0" applyBorder="1" applyProtection="1"/>
    <xf numFmtId="0" fontId="15" fillId="13" borderId="0" xfId="0" applyFont="1" applyFill="1" applyProtection="1"/>
    <xf numFmtId="0" fontId="0" fillId="3" borderId="1" xfId="0" applyFill="1" applyBorder="1" applyAlignment="1" applyProtection="1"/>
    <xf numFmtId="0" fontId="16" fillId="0" borderId="5" xfId="0" applyFont="1" applyBorder="1" applyAlignment="1" applyProtection="1">
      <alignment horizontal="center" vertical="center" wrapText="1" shrinkToFit="1"/>
    </xf>
    <xf numFmtId="0" fontId="16" fillId="0" borderId="5" xfId="0" applyFont="1" applyBorder="1" applyAlignment="1" applyProtection="1">
      <alignment horizontal="center" vertical="center" wrapText="1"/>
    </xf>
    <xf numFmtId="0" fontId="15" fillId="17" borderId="0" xfId="0" applyFont="1" applyFill="1" applyProtection="1"/>
    <xf numFmtId="0" fontId="15" fillId="17" borderId="0" xfId="0" applyFont="1" applyFill="1" applyAlignment="1" applyProtection="1"/>
  </cellXfs>
  <cellStyles count="22">
    <cellStyle name="Accent1" xfId="13" builtinId="29"/>
    <cellStyle name="Bad" xfId="11" builtinId="27"/>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Good" xfId="10" builtinId="26"/>
    <cellStyle name="Hyperlink" xfId="1" builtinId="8"/>
    <cellStyle name="Hyperlink 2" xfId="15"/>
    <cellStyle name="Neutral" xfId="12" builtinId="28"/>
    <cellStyle name="Normal" xfId="0" builtinId="0"/>
    <cellStyle name="Normal 2" xfId="14"/>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drawing1.xml><?xml version="1.0" encoding="utf-8"?>
<xdr:wsDr xmlns:xdr="http://schemas.openxmlformats.org/drawingml/2006/spreadsheetDrawing" xmlns:a="http://schemas.openxmlformats.org/drawingml/2006/main">
  <xdr:twoCellAnchor>
    <xdr:from>
      <xdr:col>7</xdr:col>
      <xdr:colOff>711200</xdr:colOff>
      <xdr:row>26</xdr:row>
      <xdr:rowOff>63500</xdr:rowOff>
    </xdr:from>
    <xdr:to>
      <xdr:col>9</xdr:col>
      <xdr:colOff>50800</xdr:colOff>
      <xdr:row>28</xdr:row>
      <xdr:rowOff>0</xdr:rowOff>
    </xdr:to>
    <xdr:sp macro="" textlink="">
      <xdr:nvSpPr>
        <xdr:cNvPr id="1133" name="Line 1"/>
        <xdr:cNvSpPr>
          <a:spLocks noChangeShapeType="1"/>
        </xdr:cNvSpPr>
      </xdr:nvSpPr>
      <xdr:spPr bwMode="auto">
        <a:xfrm flipV="1">
          <a:off x="5080000" y="4572000"/>
          <a:ext cx="317500" cy="279400"/>
        </a:xfrm>
        <a:prstGeom prst="line">
          <a:avLst/>
        </a:prstGeom>
        <a:noFill/>
        <a:ln w="38100">
          <a:solidFill>
            <a:srgbClr val="FF0000"/>
          </a:solidFill>
          <a:round/>
          <a:headEnd/>
          <a:tailEnd type="triangle" w="med" len="me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hyperlink" Target="http://www.orangecountygasprices.com/" TargetMode="External"/><Relationship Id="rId4" Type="http://schemas.openxmlformats.org/officeDocument/2006/relationships/hyperlink" Target="http://www.mapblast.com/" TargetMode="External"/><Relationship Id="rId1" Type="http://schemas.openxmlformats.org/officeDocument/2006/relationships/hyperlink" Target="http://www.bankrate.com/" TargetMode="External"/><Relationship Id="rId2" Type="http://schemas.openxmlformats.org/officeDocument/2006/relationships/hyperlink" Target="http://www.fueleconomy.gov/"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bankrate.com/calculators/auto/auto-loan-calculator.aspx" TargetMode="External"/><Relationship Id="rId4" Type="http://schemas.openxmlformats.org/officeDocument/2006/relationships/hyperlink" Target="http://www.bankrate.com/calculators/auto/auto-loan-calculator.aspx" TargetMode="External"/><Relationship Id="rId5" Type="http://schemas.openxmlformats.org/officeDocument/2006/relationships/hyperlink" Target="http://www.fueleconomy.gov/" TargetMode="External"/><Relationship Id="rId1" Type="http://schemas.openxmlformats.org/officeDocument/2006/relationships/hyperlink" Target="http://www.bankrate.com/calculators/auto/auto-loan-calculator.aspx" TargetMode="External"/><Relationship Id="rId2" Type="http://schemas.openxmlformats.org/officeDocument/2006/relationships/hyperlink" Target="http://www.bankrate.com/calculators/auto/auto-loan-calculator.asp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orangecountygasprices.com/" TargetMode="External"/><Relationship Id="rId2" Type="http://schemas.openxmlformats.org/officeDocument/2006/relationships/hyperlink" Target="http://maps.google.com/" TargetMode="External"/><Relationship Id="rId3" Type="http://schemas.openxmlformats.org/officeDocument/2006/relationships/hyperlink" Target="http://maps.google.com/"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tabSelected="1" workbookViewId="0">
      <selection activeCell="M19" sqref="M19"/>
    </sheetView>
  </sheetViews>
  <sheetFormatPr baseColWidth="10" defaultRowHeight="13" x14ac:dyDescent="0"/>
  <cols>
    <col min="1" max="1" width="10.83203125" style="1"/>
    <col min="2" max="2" width="8.5" style="1" customWidth="1"/>
    <col min="3" max="3" width="9.5" style="1" customWidth="1"/>
    <col min="4" max="4" width="11.83203125" style="1" customWidth="1"/>
    <col min="5" max="5" width="9.6640625" style="7" customWidth="1"/>
    <col min="6" max="6" width="2.6640625" style="1" customWidth="1"/>
    <col min="7" max="7" width="5.5" style="3" customWidth="1"/>
    <col min="8" max="8" width="10.5" style="1" customWidth="1"/>
    <col min="9" max="9" width="2.33203125" style="2" customWidth="1"/>
    <col min="10" max="10" width="10.83203125" style="1"/>
    <col min="11" max="11" width="5" style="3" customWidth="1"/>
    <col min="23" max="16384" width="10.83203125" style="1"/>
  </cols>
  <sheetData>
    <row r="1" spans="1:22" ht="28">
      <c r="A1" s="291" t="s">
        <v>131</v>
      </c>
      <c r="B1" s="291"/>
      <c r="C1" s="291"/>
      <c r="D1" s="291"/>
      <c r="E1" s="291"/>
      <c r="F1" s="291"/>
      <c r="G1" s="291"/>
      <c r="H1" s="291"/>
      <c r="I1" s="291"/>
      <c r="J1" s="291"/>
      <c r="K1" s="291"/>
      <c r="L1" s="51"/>
    </row>
    <row r="2" spans="1:22" ht="48" customHeight="1">
      <c r="A2" s="303" t="s">
        <v>468</v>
      </c>
      <c r="B2" s="304"/>
      <c r="C2" s="304"/>
      <c r="D2" s="304"/>
      <c r="E2" s="304"/>
      <c r="F2" s="304"/>
      <c r="G2" s="304"/>
      <c r="H2" s="304"/>
      <c r="I2" s="304"/>
      <c r="J2" s="304"/>
      <c r="K2" s="304"/>
      <c r="L2" s="248"/>
    </row>
    <row r="3" spans="1:22" ht="57" customHeight="1">
      <c r="A3" s="292" t="s">
        <v>470</v>
      </c>
      <c r="B3" s="293"/>
      <c r="C3" s="293"/>
      <c r="D3" s="293"/>
      <c r="E3" s="293"/>
      <c r="F3" s="293"/>
      <c r="G3" s="293"/>
      <c r="H3" s="293"/>
      <c r="I3" s="293"/>
      <c r="J3" s="293"/>
      <c r="K3" s="293"/>
      <c r="L3" s="248"/>
    </row>
    <row r="4" spans="1:22" s="17" customFormat="1">
      <c r="A4" s="5" t="s">
        <v>136</v>
      </c>
      <c r="B4" s="294" t="s">
        <v>163</v>
      </c>
      <c r="C4" s="295"/>
      <c r="D4" s="296"/>
      <c r="E4" s="298" t="s">
        <v>127</v>
      </c>
      <c r="F4" s="299"/>
      <c r="G4" s="299"/>
      <c r="H4" s="299"/>
      <c r="I4" s="300"/>
      <c r="J4" s="301">
        <v>0</v>
      </c>
      <c r="K4" s="302"/>
      <c r="L4" s="58"/>
      <c r="M4" s="8"/>
      <c r="N4" s="8"/>
      <c r="O4" s="8"/>
      <c r="P4" s="8"/>
      <c r="Q4" s="8"/>
      <c r="R4" s="8"/>
      <c r="S4" s="8"/>
      <c r="T4" s="8"/>
      <c r="U4" s="8"/>
      <c r="V4" s="8"/>
    </row>
    <row r="5" spans="1:22" s="17" customFormat="1">
      <c r="A5" s="5"/>
      <c r="B5" s="72"/>
      <c r="C5" s="72"/>
      <c r="D5" s="51"/>
      <c r="E5" s="51"/>
      <c r="F5" s="51"/>
      <c r="G5" s="51"/>
      <c r="H5" s="51"/>
      <c r="I5" s="51"/>
      <c r="J5" s="51"/>
      <c r="K5" s="57"/>
      <c r="L5" s="58"/>
      <c r="M5" s="8"/>
      <c r="N5" s="8"/>
      <c r="O5" s="8"/>
      <c r="P5" s="8"/>
      <c r="Q5" s="8"/>
      <c r="R5" s="8"/>
      <c r="S5" s="8"/>
      <c r="T5" s="8"/>
      <c r="U5" s="8"/>
      <c r="V5" s="8"/>
    </row>
    <row r="6" spans="1:22">
      <c r="A6" s="297" t="s">
        <v>467</v>
      </c>
      <c r="B6" s="297"/>
      <c r="C6" s="297"/>
      <c r="D6" s="297"/>
      <c r="E6" s="297"/>
      <c r="F6" s="54"/>
      <c r="G6" s="55"/>
      <c r="H6" s="59"/>
      <c r="I6" s="60" t="s">
        <v>320</v>
      </c>
      <c r="J6" s="59"/>
      <c r="K6" s="55"/>
      <c r="L6" s="61"/>
      <c r="M6" s="12"/>
      <c r="N6" s="12"/>
      <c r="O6" s="12"/>
      <c r="P6" s="12"/>
      <c r="Q6" s="12"/>
      <c r="R6" s="12"/>
      <c r="S6" s="12"/>
      <c r="T6" s="12"/>
      <c r="U6" s="12"/>
      <c r="V6" s="12"/>
    </row>
    <row r="7" spans="1:22">
      <c r="A7" s="6"/>
      <c r="B7" s="151"/>
      <c r="C7" s="152" t="s">
        <v>273</v>
      </c>
      <c r="D7" s="151"/>
      <c r="E7" s="153"/>
      <c r="F7" s="54"/>
      <c r="G7" s="62" t="s">
        <v>160</v>
      </c>
      <c r="H7" s="63"/>
      <c r="I7" s="64"/>
      <c r="J7" s="63"/>
      <c r="K7" s="67" t="s">
        <v>161</v>
      </c>
      <c r="L7" s="61"/>
      <c r="M7" s="12"/>
      <c r="N7" s="12"/>
      <c r="O7" s="12"/>
      <c r="P7" s="12"/>
      <c r="Q7" s="12"/>
      <c r="R7" s="12"/>
      <c r="S7" s="12"/>
      <c r="T7" s="12"/>
      <c r="U7" s="12"/>
      <c r="V7" s="12"/>
    </row>
    <row r="8" spans="1:22" ht="15">
      <c r="B8" s="54"/>
      <c r="C8" s="54"/>
      <c r="D8" s="54"/>
      <c r="E8" s="154" t="s">
        <v>164</v>
      </c>
      <c r="F8" s="68"/>
      <c r="G8" s="69"/>
      <c r="H8" s="70"/>
      <c r="I8" s="71" t="s">
        <v>163</v>
      </c>
      <c r="J8" s="70"/>
      <c r="K8" s="69"/>
      <c r="L8" s="51"/>
    </row>
    <row r="9" spans="1:22" s="17" customFormat="1">
      <c r="A9" s="5" t="s">
        <v>41</v>
      </c>
      <c r="B9" s="72"/>
      <c r="C9" s="72"/>
      <c r="D9" s="72"/>
      <c r="E9" s="48">
        <v>0</v>
      </c>
      <c r="F9" s="72"/>
      <c r="G9" s="73">
        <v>0.12</v>
      </c>
      <c r="H9" s="74">
        <f>J4*0.12</f>
        <v>0</v>
      </c>
      <c r="I9" s="75" t="s">
        <v>162</v>
      </c>
      <c r="J9" s="74">
        <f>J4*0.4</f>
        <v>0</v>
      </c>
      <c r="K9" s="73">
        <v>0.4</v>
      </c>
      <c r="L9" s="58"/>
      <c r="M9" s="8"/>
      <c r="N9" s="8"/>
      <c r="O9" s="8"/>
      <c r="P9" s="8"/>
      <c r="Q9" s="8"/>
      <c r="R9" s="8"/>
      <c r="S9" s="8"/>
      <c r="T9" s="8"/>
      <c r="U9" s="8"/>
      <c r="V9" s="8"/>
    </row>
    <row r="10" spans="1:22" s="17" customFormat="1" ht="4" customHeight="1">
      <c r="B10" s="72"/>
      <c r="C10" s="72"/>
      <c r="D10" s="72"/>
      <c r="E10" s="49"/>
      <c r="F10" s="72"/>
      <c r="G10" s="57"/>
      <c r="H10" s="23"/>
      <c r="I10" s="76" t="s">
        <v>163</v>
      </c>
      <c r="J10" s="23"/>
      <c r="K10" s="57"/>
      <c r="L10" s="58"/>
      <c r="M10" s="8"/>
      <c r="N10" s="8"/>
      <c r="O10" s="8"/>
      <c r="P10" s="8"/>
      <c r="Q10" s="8"/>
      <c r="R10" s="8"/>
      <c r="S10" s="8"/>
      <c r="T10" s="8"/>
      <c r="U10" s="8"/>
      <c r="V10" s="8"/>
    </row>
    <row r="11" spans="1:22" s="17" customFormat="1">
      <c r="A11" s="5" t="s">
        <v>140</v>
      </c>
      <c r="B11" s="72"/>
      <c r="C11" s="72"/>
      <c r="D11" s="72"/>
      <c r="E11" s="208">
        <f>E9*0.03</f>
        <v>0</v>
      </c>
      <c r="F11" s="72"/>
      <c r="G11" s="73">
        <v>0.01</v>
      </c>
      <c r="H11" s="74">
        <f>J4*0.01</f>
        <v>0</v>
      </c>
      <c r="I11" s="75" t="s">
        <v>162</v>
      </c>
      <c r="J11" s="74">
        <f>J4*0.05</f>
        <v>0</v>
      </c>
      <c r="K11" s="73">
        <v>0.05</v>
      </c>
      <c r="L11" s="58"/>
      <c r="M11" s="8"/>
      <c r="N11" s="8"/>
      <c r="O11" s="8"/>
      <c r="P11" s="8"/>
      <c r="Q11" s="8"/>
      <c r="R11" s="8"/>
      <c r="S11" s="8"/>
      <c r="T11" s="8"/>
      <c r="U11" s="8"/>
      <c r="V11" s="8"/>
    </row>
    <row r="12" spans="1:22" s="17" customFormat="1" ht="5" customHeight="1">
      <c r="B12" s="72"/>
      <c r="C12" s="72"/>
      <c r="E12" s="49" t="s">
        <v>163</v>
      </c>
      <c r="F12" s="72"/>
      <c r="G12" s="57"/>
      <c r="H12" s="23"/>
      <c r="I12" s="76" t="s">
        <v>163</v>
      </c>
      <c r="J12" s="23"/>
      <c r="K12" s="57"/>
      <c r="L12" s="58"/>
      <c r="M12" s="8"/>
      <c r="N12" s="8"/>
      <c r="O12" s="8"/>
      <c r="P12" s="8"/>
      <c r="Q12" s="8"/>
      <c r="R12" s="8"/>
      <c r="S12" s="8"/>
      <c r="T12" s="8"/>
      <c r="U12" s="8"/>
      <c r="V12" s="8"/>
    </row>
    <row r="13" spans="1:22" s="17" customFormat="1">
      <c r="A13" s="5" t="s">
        <v>166</v>
      </c>
      <c r="B13" s="57"/>
      <c r="C13" s="57"/>
      <c r="D13" s="156">
        <f>G36*J39</f>
        <v>0</v>
      </c>
      <c r="E13" s="21">
        <f>D13+'MONTHLY LIVING'!F9</f>
        <v>0</v>
      </c>
      <c r="F13" s="72"/>
      <c r="G13" s="73">
        <v>0.01</v>
      </c>
      <c r="H13" s="74">
        <f>J4*0.01</f>
        <v>0</v>
      </c>
      <c r="I13" s="75" t="s">
        <v>162</v>
      </c>
      <c r="J13" s="74">
        <f>J4*0.04</f>
        <v>0</v>
      </c>
      <c r="K13" s="73">
        <v>0.04</v>
      </c>
      <c r="L13" s="58"/>
      <c r="M13" s="8"/>
      <c r="N13" s="8"/>
      <c r="O13" s="8"/>
      <c r="P13" s="8"/>
      <c r="Q13" s="8"/>
      <c r="R13" s="8"/>
      <c r="S13" s="8"/>
      <c r="T13" s="8"/>
      <c r="U13" s="8"/>
      <c r="V13" s="8"/>
    </row>
    <row r="14" spans="1:22" s="17" customFormat="1" ht="5" customHeight="1">
      <c r="A14" s="5"/>
      <c r="B14" s="57"/>
      <c r="C14" s="57"/>
      <c r="D14" s="72"/>
      <c r="E14" s="49"/>
      <c r="F14" s="72"/>
      <c r="G14" s="57"/>
      <c r="H14" s="23"/>
      <c r="I14" s="76" t="s">
        <v>163</v>
      </c>
      <c r="J14" s="23"/>
      <c r="K14" s="57"/>
      <c r="L14" s="58"/>
      <c r="M14" s="8"/>
      <c r="N14" s="8"/>
      <c r="O14" s="8"/>
      <c r="P14" s="8"/>
      <c r="Q14" s="8"/>
      <c r="R14" s="8"/>
      <c r="S14" s="8"/>
      <c r="T14" s="8"/>
      <c r="U14" s="8"/>
      <c r="V14" s="8"/>
    </row>
    <row r="15" spans="1:22" s="17" customFormat="1">
      <c r="A15" s="5" t="s">
        <v>167</v>
      </c>
      <c r="B15" s="57"/>
      <c r="C15" s="57"/>
      <c r="D15" s="156">
        <f>G37*J39</f>
        <v>0</v>
      </c>
      <c r="E15" s="21">
        <f>D15+'MONTHLY LIVING'!F12</f>
        <v>0</v>
      </c>
      <c r="F15" s="72"/>
      <c r="G15" s="73">
        <v>0.01</v>
      </c>
      <c r="H15" s="74">
        <f>J4*0.01</f>
        <v>0</v>
      </c>
      <c r="I15" s="75" t="s">
        <v>162</v>
      </c>
      <c r="J15" s="74">
        <f>J4*0.02</f>
        <v>0</v>
      </c>
      <c r="K15" s="73">
        <v>0.02</v>
      </c>
      <c r="L15" s="58"/>
      <c r="M15" s="8"/>
      <c r="N15" s="8"/>
      <c r="O15" s="8"/>
      <c r="P15" s="8"/>
      <c r="Q15" s="8"/>
      <c r="R15" s="8"/>
      <c r="S15" s="8"/>
      <c r="T15" s="8"/>
      <c r="U15" s="8"/>
      <c r="V15" s="8"/>
    </row>
    <row r="16" spans="1:22" s="17" customFormat="1" ht="5" customHeight="1">
      <c r="A16" s="5"/>
      <c r="B16" s="57"/>
      <c r="C16" s="57"/>
      <c r="D16" s="72"/>
      <c r="E16" s="49"/>
      <c r="F16" s="72"/>
      <c r="G16" s="57"/>
      <c r="H16" s="23"/>
      <c r="I16" s="76" t="s">
        <v>163</v>
      </c>
      <c r="J16" s="23"/>
      <c r="K16" s="57"/>
      <c r="L16" s="58"/>
      <c r="M16" s="8"/>
      <c r="N16" s="8"/>
      <c r="O16" s="8"/>
      <c r="P16" s="8"/>
      <c r="Q16" s="8"/>
      <c r="R16" s="8"/>
      <c r="S16" s="8"/>
      <c r="T16" s="8"/>
      <c r="U16" s="8"/>
      <c r="V16" s="8"/>
    </row>
    <row r="17" spans="1:22" s="17" customFormat="1">
      <c r="A17" s="5" t="s">
        <v>168</v>
      </c>
      <c r="B17" s="57"/>
      <c r="C17" s="57"/>
      <c r="D17" s="156">
        <f>G35*J39</f>
        <v>0</v>
      </c>
      <c r="E17" s="21">
        <f>D17+'MONTHLY LIVING'!F15</f>
        <v>0</v>
      </c>
      <c r="F17" s="72"/>
      <c r="G17" s="73">
        <v>0.01</v>
      </c>
      <c r="H17" s="74">
        <f>J4*0.01</f>
        <v>0</v>
      </c>
      <c r="I17" s="75" t="s">
        <v>162</v>
      </c>
      <c r="J17" s="74">
        <f>J4*0.02</f>
        <v>0</v>
      </c>
      <c r="K17" s="73">
        <v>0.02</v>
      </c>
      <c r="L17" s="58"/>
      <c r="M17" s="8"/>
      <c r="N17" s="8"/>
      <c r="O17" s="8"/>
      <c r="P17" s="8"/>
      <c r="Q17" s="8"/>
      <c r="R17" s="8"/>
      <c r="S17" s="8"/>
      <c r="T17" s="8"/>
      <c r="U17" s="8"/>
      <c r="V17" s="8"/>
    </row>
    <row r="18" spans="1:22" s="17" customFormat="1" ht="5" customHeight="1">
      <c r="A18" s="5"/>
      <c r="B18" s="57"/>
      <c r="C18" s="57"/>
      <c r="D18" s="72"/>
      <c r="E18" s="49"/>
      <c r="F18" s="72"/>
      <c r="G18" s="57"/>
      <c r="H18" s="23"/>
      <c r="I18" s="76" t="s">
        <v>163</v>
      </c>
      <c r="J18" s="23"/>
      <c r="K18" s="57"/>
      <c r="L18" s="58"/>
      <c r="M18" s="8"/>
      <c r="N18" s="8"/>
      <c r="O18" s="8"/>
      <c r="P18" s="8"/>
      <c r="Q18" s="8"/>
      <c r="R18" s="8"/>
      <c r="S18" s="8"/>
      <c r="T18" s="8"/>
      <c r="U18" s="8"/>
      <c r="V18" s="8"/>
    </row>
    <row r="19" spans="1:22" s="17" customFormat="1">
      <c r="A19" s="5" t="s">
        <v>169</v>
      </c>
      <c r="B19" s="57"/>
      <c r="C19" s="57"/>
      <c r="D19" s="72"/>
      <c r="E19" s="21">
        <f>'MONTHLY LIVING'!F17</f>
        <v>40</v>
      </c>
      <c r="F19" s="72"/>
      <c r="G19" s="73">
        <v>0.01</v>
      </c>
      <c r="H19" s="74">
        <f>J4*0.01</f>
        <v>0</v>
      </c>
      <c r="I19" s="75" t="s">
        <v>162</v>
      </c>
      <c r="J19" s="74">
        <f>J4*0.03</f>
        <v>0</v>
      </c>
      <c r="K19" s="73">
        <v>0.03</v>
      </c>
      <c r="L19" s="58"/>
      <c r="M19" s="8"/>
      <c r="N19" s="8"/>
      <c r="O19" s="8"/>
      <c r="P19" s="8"/>
      <c r="Q19" s="8"/>
      <c r="R19" s="8"/>
      <c r="S19" s="8"/>
      <c r="T19" s="8"/>
      <c r="U19" s="8"/>
      <c r="V19" s="8"/>
    </row>
    <row r="20" spans="1:22" s="17" customFormat="1" ht="4" customHeight="1">
      <c r="A20" s="5"/>
      <c r="B20" s="57"/>
      <c r="C20" s="57"/>
      <c r="D20" s="72"/>
      <c r="E20" s="49"/>
      <c r="F20" s="72"/>
      <c r="G20" s="57"/>
      <c r="H20" s="23"/>
      <c r="I20" s="76" t="s">
        <v>163</v>
      </c>
      <c r="J20" s="23"/>
      <c r="K20" s="57"/>
      <c r="L20" s="58"/>
      <c r="M20" s="8"/>
      <c r="N20" s="8"/>
      <c r="O20" s="8"/>
      <c r="P20" s="8"/>
      <c r="Q20" s="8"/>
      <c r="R20" s="8"/>
      <c r="S20" s="8"/>
      <c r="T20" s="8"/>
      <c r="U20" s="8"/>
      <c r="V20" s="8"/>
    </row>
    <row r="21" spans="1:22" s="17" customFormat="1">
      <c r="A21" s="5" t="s">
        <v>341</v>
      </c>
      <c r="B21" s="57"/>
      <c r="C21" s="57"/>
      <c r="D21" s="72"/>
      <c r="E21" s="21">
        <f>60</f>
        <v>60</v>
      </c>
      <c r="F21" s="72"/>
      <c r="G21" s="73">
        <v>0.01</v>
      </c>
      <c r="H21" s="74">
        <f>J4*0.01</f>
        <v>0</v>
      </c>
      <c r="I21" s="75" t="s">
        <v>162</v>
      </c>
      <c r="J21" s="74">
        <f>J4*0.03</f>
        <v>0</v>
      </c>
      <c r="K21" s="73">
        <v>0.03</v>
      </c>
      <c r="L21" s="58"/>
      <c r="M21" s="8"/>
      <c r="N21" s="8"/>
      <c r="O21" s="8"/>
      <c r="P21" s="8"/>
      <c r="Q21" s="8"/>
      <c r="R21" s="8"/>
      <c r="S21" s="8"/>
      <c r="T21" s="8"/>
      <c r="U21" s="8"/>
      <c r="V21" s="8"/>
    </row>
    <row r="22" spans="1:22" s="17" customFormat="1" ht="4" customHeight="1">
      <c r="A22" s="5"/>
      <c r="B22" s="57"/>
      <c r="C22" s="57"/>
      <c r="D22" s="72"/>
      <c r="E22" s="49"/>
      <c r="F22" s="72"/>
      <c r="G22" s="51"/>
      <c r="H22" s="77"/>
      <c r="I22" s="77"/>
      <c r="J22" s="77"/>
      <c r="K22" s="51"/>
      <c r="L22" s="58"/>
      <c r="M22" s="8"/>
      <c r="N22" s="8"/>
      <c r="O22" s="8"/>
      <c r="P22" s="8"/>
      <c r="Q22" s="8"/>
      <c r="R22" s="8"/>
      <c r="S22" s="8"/>
      <c r="T22" s="8"/>
      <c r="U22" s="8"/>
      <c r="V22" s="8"/>
    </row>
    <row r="23" spans="1:22" s="17" customFormat="1">
      <c r="A23" s="5" t="s">
        <v>171</v>
      </c>
      <c r="B23" s="57"/>
      <c r="C23" s="57"/>
      <c r="D23" s="72"/>
      <c r="E23" s="21">
        <f>E25*0.3</f>
        <v>0</v>
      </c>
      <c r="F23" s="72"/>
      <c r="G23" s="73">
        <v>0.01</v>
      </c>
      <c r="H23" s="74">
        <f>J4*0.01</f>
        <v>0</v>
      </c>
      <c r="I23" s="75" t="s">
        <v>162</v>
      </c>
      <c r="J23" s="74">
        <f>J4*0.03</f>
        <v>0</v>
      </c>
      <c r="K23" s="73">
        <v>0.03</v>
      </c>
      <c r="L23" s="58"/>
      <c r="M23" s="8"/>
      <c r="N23" s="8"/>
      <c r="O23" s="8"/>
      <c r="P23" s="8"/>
      <c r="Q23" s="8"/>
      <c r="R23" s="8"/>
      <c r="S23" s="8"/>
      <c r="T23" s="8"/>
      <c r="U23" s="8"/>
      <c r="V23" s="8"/>
    </row>
    <row r="24" spans="1:22" s="17" customFormat="1" ht="5" customHeight="1">
      <c r="A24" s="5"/>
      <c r="B24" s="57"/>
      <c r="C24" s="57"/>
      <c r="D24" s="72"/>
      <c r="E24" s="49" t="s">
        <v>163</v>
      </c>
      <c r="F24" s="72"/>
      <c r="G24" s="57"/>
      <c r="H24" s="23"/>
      <c r="I24" s="76" t="s">
        <v>163</v>
      </c>
      <c r="J24" s="23"/>
      <c r="K24" s="57"/>
      <c r="L24" s="58"/>
      <c r="M24" s="8"/>
      <c r="N24" s="8"/>
      <c r="O24" s="8"/>
      <c r="P24" s="8"/>
      <c r="Q24" s="8"/>
      <c r="R24" s="8"/>
      <c r="S24" s="8"/>
      <c r="T24" s="8"/>
      <c r="U24" s="8"/>
      <c r="V24" s="8"/>
    </row>
    <row r="25" spans="1:22" s="17" customFormat="1">
      <c r="A25" s="5" t="s">
        <v>469</v>
      </c>
      <c r="B25" s="57"/>
      <c r="C25" s="57"/>
      <c r="D25" s="72"/>
      <c r="E25" s="48">
        <v>0</v>
      </c>
      <c r="F25" s="72"/>
      <c r="G25" s="73">
        <v>7.0000000000000007E-2</v>
      </c>
      <c r="H25" s="74">
        <f>J4*0.07</f>
        <v>0</v>
      </c>
      <c r="I25" s="75" t="s">
        <v>162</v>
      </c>
      <c r="J25" s="74">
        <f>J4*0.15</f>
        <v>0</v>
      </c>
      <c r="K25" s="73">
        <v>0.15</v>
      </c>
      <c r="L25" s="58"/>
      <c r="M25" s="8"/>
      <c r="N25" s="8"/>
      <c r="O25" s="8"/>
      <c r="P25" s="8"/>
      <c r="Q25" s="8"/>
      <c r="R25" s="8"/>
      <c r="S25" s="8"/>
      <c r="T25" s="8"/>
      <c r="U25" s="8"/>
      <c r="V25" s="8"/>
    </row>
    <row r="26" spans="1:22" s="17" customFormat="1" ht="3" customHeight="1">
      <c r="B26" s="72"/>
      <c r="C26" s="72"/>
      <c r="D26" s="72"/>
      <c r="E26" s="49"/>
      <c r="F26" s="72"/>
      <c r="G26" s="57"/>
      <c r="H26" s="23"/>
      <c r="I26" s="76" t="s">
        <v>163</v>
      </c>
      <c r="J26" s="23"/>
      <c r="K26" s="57"/>
      <c r="L26" s="58"/>
      <c r="M26" s="8"/>
      <c r="N26" s="8"/>
      <c r="O26" s="8"/>
      <c r="P26" s="8"/>
      <c r="Q26" s="8"/>
      <c r="R26" s="8"/>
      <c r="S26" s="8"/>
      <c r="T26" s="8"/>
      <c r="U26" s="8"/>
      <c r="V26" s="8"/>
    </row>
    <row r="27" spans="1:22" s="17" customFormat="1">
      <c r="A27" s="5" t="s">
        <v>172</v>
      </c>
      <c r="B27" s="57"/>
      <c r="C27" s="72"/>
      <c r="D27" s="156">
        <f>G34*J39</f>
        <v>0</v>
      </c>
      <c r="E27" s="21">
        <f>D27+'MONTHLY LIVING'!F34</f>
        <v>0</v>
      </c>
      <c r="F27" s="72"/>
      <c r="G27" s="73">
        <v>0.06</v>
      </c>
      <c r="H27" s="74">
        <f>J4*0.06</f>
        <v>0</v>
      </c>
      <c r="I27" s="75" t="s">
        <v>162</v>
      </c>
      <c r="J27" s="74">
        <f>J4*0.12</f>
        <v>0</v>
      </c>
      <c r="K27" s="73">
        <v>0.12</v>
      </c>
      <c r="L27" s="58"/>
      <c r="M27" s="8"/>
      <c r="N27" s="8"/>
      <c r="O27" s="8"/>
      <c r="P27" s="8"/>
      <c r="Q27" s="8"/>
      <c r="R27" s="8"/>
      <c r="S27" s="8"/>
      <c r="T27" s="8"/>
      <c r="U27" s="8"/>
      <c r="V27" s="8"/>
    </row>
    <row r="28" spans="1:22" s="17" customFormat="1" ht="5" customHeight="1">
      <c r="A28" s="5"/>
      <c r="B28" s="57"/>
      <c r="C28" s="72"/>
      <c r="D28" s="72"/>
      <c r="E28" s="49"/>
      <c r="F28" s="72"/>
      <c r="G28" s="57"/>
      <c r="H28" s="23"/>
      <c r="I28" s="76" t="s">
        <v>163</v>
      </c>
      <c r="J28" s="23"/>
      <c r="K28" s="57"/>
      <c r="L28" s="58"/>
      <c r="M28" s="8"/>
      <c r="N28" s="8"/>
      <c r="O28" s="8"/>
      <c r="P28" s="8"/>
      <c r="Q28" s="8"/>
      <c r="R28" s="8"/>
      <c r="S28" s="8"/>
      <c r="T28" s="8"/>
      <c r="U28" s="8"/>
      <c r="V28" s="8"/>
    </row>
    <row r="29" spans="1:22" s="17" customFormat="1">
      <c r="A29" s="5" t="s">
        <v>49</v>
      </c>
      <c r="B29" s="57"/>
      <c r="C29" s="72"/>
      <c r="D29" s="156">
        <f>K35*J39</f>
        <v>0</v>
      </c>
      <c r="E29" s="21">
        <f>IF(E25&gt;0,115+D29,0)</f>
        <v>0</v>
      </c>
      <c r="F29" s="72"/>
      <c r="G29" s="73">
        <v>0.02</v>
      </c>
      <c r="H29" s="74">
        <f>J4*0.02</f>
        <v>0</v>
      </c>
      <c r="I29" s="75" t="s">
        <v>162</v>
      </c>
      <c r="J29" s="74">
        <f>J4*0.05</f>
        <v>0</v>
      </c>
      <c r="K29" s="73">
        <v>0.05</v>
      </c>
      <c r="L29" s="58"/>
      <c r="M29" s="8"/>
      <c r="N29" s="8"/>
      <c r="O29" s="8"/>
      <c r="P29" s="8"/>
      <c r="Q29" s="8"/>
      <c r="R29" s="8"/>
      <c r="S29" s="8"/>
      <c r="T29" s="8"/>
      <c r="U29" s="8"/>
      <c r="V29" s="8"/>
    </row>
    <row r="30" spans="1:22" s="17" customFormat="1" ht="4" customHeight="1">
      <c r="A30" s="5"/>
      <c r="B30" s="57"/>
      <c r="C30" s="72"/>
      <c r="D30" s="72"/>
      <c r="E30" s="49"/>
      <c r="F30" s="72"/>
      <c r="G30" s="57"/>
      <c r="H30" s="23"/>
      <c r="I30" s="76" t="s">
        <v>163</v>
      </c>
      <c r="J30" s="23"/>
      <c r="K30" s="57"/>
      <c r="L30" s="58"/>
      <c r="M30" s="8"/>
      <c r="N30" s="8"/>
      <c r="O30" s="8"/>
      <c r="P30" s="8"/>
      <c r="Q30" s="8"/>
      <c r="R30" s="8"/>
      <c r="S30" s="8"/>
      <c r="T30" s="8"/>
      <c r="U30" s="8"/>
      <c r="V30" s="8"/>
    </row>
    <row r="31" spans="1:22" s="17" customFormat="1">
      <c r="A31" s="5" t="s">
        <v>249</v>
      </c>
      <c r="B31" s="57"/>
      <c r="C31" s="72"/>
      <c r="D31" s="156">
        <f>K36*J39</f>
        <v>0</v>
      </c>
      <c r="E31" s="21">
        <f>D31+'MONTHLY LIVING'!F43</f>
        <v>0</v>
      </c>
      <c r="F31" s="72"/>
      <c r="G31" s="73">
        <v>0.01</v>
      </c>
      <c r="H31" s="74">
        <f>J4*0.01</f>
        <v>0</v>
      </c>
      <c r="I31" s="75" t="s">
        <v>162</v>
      </c>
      <c r="J31" s="74">
        <f>J4*0.04</f>
        <v>0</v>
      </c>
      <c r="K31" s="73">
        <v>0.04</v>
      </c>
      <c r="L31" s="58"/>
      <c r="M31" s="8"/>
      <c r="N31" s="8"/>
      <c r="O31" s="8"/>
      <c r="P31" s="8"/>
      <c r="Q31" s="8"/>
      <c r="R31" s="8"/>
      <c r="S31" s="8"/>
      <c r="T31" s="8"/>
      <c r="U31" s="8"/>
      <c r="V31" s="8"/>
    </row>
    <row r="32" spans="1:22" s="17" customFormat="1" ht="6" customHeight="1">
      <c r="A32"/>
      <c r="B32" s="51"/>
      <c r="C32" s="51"/>
      <c r="D32" s="51"/>
      <c r="E32" s="51" t="s">
        <v>342</v>
      </c>
      <c r="F32" s="51"/>
      <c r="G32" s="51"/>
      <c r="H32" s="51"/>
      <c r="I32" s="51"/>
      <c r="J32" s="51"/>
      <c r="K32" s="51"/>
      <c r="L32" s="51"/>
      <c r="M32" s="8"/>
      <c r="N32" s="8"/>
      <c r="O32" s="8"/>
      <c r="P32" s="8"/>
      <c r="Q32" s="8"/>
      <c r="R32" s="8"/>
      <c r="S32" s="8"/>
      <c r="T32" s="8"/>
      <c r="U32" s="8"/>
      <c r="V32" s="8"/>
    </row>
    <row r="33" spans="1:22" s="17" customFormat="1">
      <c r="A33"/>
      <c r="B33"/>
      <c r="C33"/>
      <c r="D33" s="155" t="s">
        <v>52</v>
      </c>
      <c r="E33"/>
      <c r="F33" s="72"/>
      <c r="G33" s="98"/>
      <c r="H33" s="99"/>
      <c r="I33" s="100" t="s">
        <v>51</v>
      </c>
      <c r="J33" s="99"/>
      <c r="K33" s="101"/>
      <c r="L33" s="58"/>
      <c r="M33" s="8"/>
      <c r="N33" s="8"/>
      <c r="O33" s="8"/>
      <c r="P33" s="8"/>
      <c r="Q33" s="8"/>
      <c r="R33" s="8"/>
      <c r="S33" s="8"/>
      <c r="T33" s="8"/>
      <c r="U33" s="8"/>
      <c r="V33" s="8"/>
    </row>
    <row r="34" spans="1:22" s="17" customFormat="1">
      <c r="A34" s="5"/>
      <c r="B34" s="57"/>
      <c r="C34" s="72"/>
      <c r="D34" s="72"/>
      <c r="E34" s="82"/>
      <c r="F34" s="72"/>
      <c r="G34" s="102">
        <v>50</v>
      </c>
      <c r="H34" s="65" t="s">
        <v>172</v>
      </c>
      <c r="I34" s="66"/>
      <c r="J34" s="66" t="s">
        <v>118</v>
      </c>
      <c r="K34" s="105">
        <v>40</v>
      </c>
      <c r="L34" s="58"/>
      <c r="M34" s="8"/>
      <c r="N34" s="8"/>
      <c r="O34" s="8"/>
      <c r="P34" s="8"/>
      <c r="Q34" s="8"/>
      <c r="R34" s="8"/>
      <c r="S34" s="8"/>
      <c r="T34" s="8"/>
      <c r="U34" s="8"/>
      <c r="V34" s="8"/>
    </row>
    <row r="35" spans="1:22" s="17" customFormat="1">
      <c r="A35" s="20" t="s">
        <v>304</v>
      </c>
      <c r="B35" s="157"/>
      <c r="C35" s="158"/>
      <c r="D35" s="72"/>
      <c r="E35" s="21">
        <f>SUM(E9:E33)+D13+D15+D17+D27+D29+D31</f>
        <v>100</v>
      </c>
      <c r="F35" s="72"/>
      <c r="G35" s="103">
        <v>15</v>
      </c>
      <c r="H35" s="94" t="s">
        <v>244</v>
      </c>
      <c r="I35" s="95"/>
      <c r="J35" s="95" t="s">
        <v>226</v>
      </c>
      <c r="K35" s="106">
        <v>10</v>
      </c>
      <c r="L35" s="58"/>
      <c r="M35" s="8"/>
      <c r="N35" s="8"/>
      <c r="O35" s="8"/>
      <c r="P35" s="8"/>
      <c r="Q35" s="8"/>
      <c r="R35" s="8"/>
      <c r="S35" s="8"/>
      <c r="T35" s="8"/>
      <c r="U35" s="8"/>
      <c r="V35" s="8"/>
    </row>
    <row r="36" spans="1:22" s="17" customFormat="1">
      <c r="A36"/>
      <c r="B36" s="51"/>
      <c r="C36" s="51"/>
      <c r="D36" s="51"/>
      <c r="E36" s="51"/>
      <c r="F36" s="72"/>
      <c r="G36" s="103">
        <v>15</v>
      </c>
      <c r="H36" s="94" t="s">
        <v>245</v>
      </c>
      <c r="I36" s="95"/>
      <c r="J36" s="95" t="s">
        <v>50</v>
      </c>
      <c r="K36" s="106">
        <v>25</v>
      </c>
      <c r="L36" s="58"/>
      <c r="M36" s="8"/>
      <c r="N36" s="8"/>
      <c r="O36" s="8"/>
      <c r="P36" s="8"/>
      <c r="Q36" s="8"/>
      <c r="R36" s="8"/>
      <c r="S36" s="8"/>
      <c r="T36" s="8"/>
      <c r="U36" s="8"/>
      <c r="V36" s="8"/>
    </row>
    <row r="37" spans="1:22" s="17" customFormat="1">
      <c r="A37" s="50" t="s">
        <v>59</v>
      </c>
      <c r="B37" s="159"/>
      <c r="C37" s="160"/>
      <c r="D37" s="51"/>
      <c r="E37" s="51"/>
      <c r="F37" s="72"/>
      <c r="G37" s="104">
        <v>15</v>
      </c>
      <c r="H37" s="96" t="s">
        <v>243</v>
      </c>
      <c r="I37" s="97"/>
      <c r="J37" s="97"/>
      <c r="K37" s="107"/>
      <c r="L37" s="58"/>
      <c r="M37" s="8"/>
      <c r="N37" s="8"/>
      <c r="O37" s="8"/>
      <c r="P37" s="8"/>
      <c r="Q37" s="8"/>
      <c r="R37" s="8"/>
      <c r="S37" s="8"/>
      <c r="T37" s="8"/>
      <c r="U37" s="8"/>
      <c r="V37" s="8"/>
    </row>
    <row r="38" spans="1:22" s="17" customFormat="1">
      <c r="B38" s="51"/>
      <c r="C38" s="51"/>
      <c r="D38" s="51"/>
      <c r="E38" s="51"/>
      <c r="F38" s="72"/>
      <c r="G38" s="51"/>
      <c r="H38" s="77"/>
      <c r="I38" s="77"/>
      <c r="J38" s="77"/>
      <c r="K38" s="51"/>
      <c r="L38" s="58"/>
      <c r="M38" s="8"/>
      <c r="N38" s="8"/>
      <c r="O38" s="8"/>
      <c r="P38" s="8"/>
      <c r="Q38" s="8"/>
      <c r="R38" s="8"/>
      <c r="S38" s="8"/>
      <c r="T38" s="8"/>
      <c r="U38" s="8"/>
      <c r="V38" s="8"/>
    </row>
    <row r="39" spans="1:22" s="17" customFormat="1">
      <c r="A39" t="s">
        <v>58</v>
      </c>
      <c r="B39" s="51"/>
      <c r="C39" s="51"/>
      <c r="D39" s="51"/>
      <c r="E39" s="14">
        <f>J39*450</f>
        <v>0</v>
      </c>
      <c r="F39" s="72"/>
      <c r="G39" s="51" t="s">
        <v>60</v>
      </c>
      <c r="H39" s="77"/>
      <c r="I39" s="77"/>
      <c r="J39" s="48">
        <v>0</v>
      </c>
      <c r="K39" s="51"/>
      <c r="L39" s="58"/>
      <c r="M39" s="8"/>
      <c r="N39" s="8"/>
      <c r="O39" s="8"/>
      <c r="P39" s="8"/>
      <c r="Q39" s="8"/>
      <c r="R39" s="8"/>
      <c r="S39" s="8"/>
      <c r="T39" s="8"/>
      <c r="U39" s="8"/>
      <c r="V39" s="8"/>
    </row>
    <row r="40" spans="1:22" s="17" customFormat="1">
      <c r="B40" s="72"/>
      <c r="C40" s="72"/>
      <c r="D40" s="72"/>
      <c r="E40" s="23"/>
      <c r="F40" s="72"/>
      <c r="G40" s="57"/>
      <c r="H40" s="72"/>
      <c r="I40" s="78" t="s">
        <v>163</v>
      </c>
      <c r="J40" s="72"/>
      <c r="K40" s="57"/>
      <c r="L40" s="58"/>
      <c r="M40" s="8"/>
      <c r="N40" s="8"/>
      <c r="O40" s="8"/>
      <c r="P40" s="8"/>
      <c r="Q40" s="8"/>
      <c r="R40" s="8"/>
      <c r="S40" s="8"/>
      <c r="T40" s="8"/>
      <c r="U40" s="8"/>
      <c r="V40" s="8"/>
    </row>
    <row r="41" spans="1:22" s="17" customFormat="1">
      <c r="A41" s="19"/>
      <c r="B41" s="157"/>
      <c r="C41" s="161" t="s">
        <v>26</v>
      </c>
      <c r="D41" s="157"/>
      <c r="E41" s="24"/>
      <c r="F41" s="72"/>
      <c r="G41" s="79" t="s">
        <v>27</v>
      </c>
      <c r="H41" s="80"/>
      <c r="I41" s="78" t="s">
        <v>28</v>
      </c>
      <c r="J41" s="21">
        <f>J4*0.15</f>
        <v>0</v>
      </c>
      <c r="K41" s="57"/>
      <c r="L41" s="58"/>
      <c r="M41" s="8"/>
      <c r="N41" s="8"/>
      <c r="O41" s="8"/>
      <c r="P41" s="8"/>
      <c r="Q41" s="8"/>
      <c r="R41" s="8"/>
      <c r="S41" s="8"/>
      <c r="T41" s="8"/>
      <c r="U41" s="8"/>
      <c r="V41" s="8"/>
    </row>
    <row r="42" spans="1:22" s="17" customFormat="1">
      <c r="B42" s="72"/>
      <c r="C42" s="72"/>
      <c r="D42" s="72"/>
      <c r="E42" s="23"/>
      <c r="F42" s="72"/>
      <c r="G42" s="57"/>
      <c r="H42" s="72"/>
      <c r="I42" s="78" t="s">
        <v>163</v>
      </c>
      <c r="J42" s="72"/>
      <c r="K42" s="57"/>
      <c r="L42" s="58"/>
      <c r="M42" s="8"/>
      <c r="N42" s="8"/>
      <c r="O42" s="8"/>
      <c r="P42" s="8"/>
      <c r="Q42" s="8"/>
      <c r="R42" s="8"/>
      <c r="S42" s="8"/>
      <c r="T42" s="8"/>
      <c r="U42" s="8"/>
      <c r="V42" s="8"/>
    </row>
    <row r="43" spans="1:22" s="17" customFormat="1">
      <c r="A43" s="5" t="s">
        <v>308</v>
      </c>
      <c r="B43" s="57"/>
      <c r="C43" s="72"/>
      <c r="D43" s="72"/>
      <c r="E43" s="21">
        <f>J41*0.2</f>
        <v>0</v>
      </c>
      <c r="F43" s="72"/>
      <c r="G43" s="73">
        <v>0.04</v>
      </c>
      <c r="H43" s="74">
        <f>J4*0.04</f>
        <v>0</v>
      </c>
      <c r="I43" s="81" t="s">
        <v>162</v>
      </c>
      <c r="J43" s="74">
        <f>J4*0.07</f>
        <v>0</v>
      </c>
      <c r="K43" s="73">
        <v>7.0000000000000007E-2</v>
      </c>
      <c r="L43" s="58"/>
      <c r="M43" s="8"/>
      <c r="N43" s="8"/>
      <c r="O43" s="8"/>
      <c r="P43" s="8"/>
      <c r="Q43" s="8"/>
      <c r="R43" s="8"/>
      <c r="S43" s="8"/>
      <c r="T43" s="8"/>
      <c r="U43" s="8"/>
      <c r="V43" s="8"/>
    </row>
    <row r="44" spans="1:22" s="17" customFormat="1">
      <c r="B44" s="72"/>
      <c r="C44" s="72"/>
      <c r="D44" s="72"/>
      <c r="E44" s="49"/>
      <c r="F44" s="72"/>
      <c r="G44" s="57"/>
      <c r="H44" s="72"/>
      <c r="I44" s="78"/>
      <c r="J44" s="72"/>
      <c r="K44" s="57"/>
      <c r="L44" s="58"/>
      <c r="M44" s="8"/>
      <c r="N44" s="8"/>
      <c r="O44" s="8"/>
      <c r="P44" s="8"/>
      <c r="Q44" s="8"/>
      <c r="R44" s="8"/>
      <c r="S44" s="8"/>
      <c r="T44" s="8"/>
      <c r="U44" s="8"/>
      <c r="V44" s="8"/>
    </row>
    <row r="45" spans="1:22" s="17" customFormat="1">
      <c r="A45" s="5" t="s">
        <v>68</v>
      </c>
      <c r="B45" s="57"/>
      <c r="C45" s="72"/>
      <c r="D45" s="72"/>
      <c r="E45" s="21">
        <f>J41*0.2</f>
        <v>0</v>
      </c>
      <c r="F45" s="72"/>
      <c r="G45" s="73">
        <v>0.03</v>
      </c>
      <c r="H45" s="74">
        <f>J4*0.03</f>
        <v>0</v>
      </c>
      <c r="I45" s="81" t="s">
        <v>162</v>
      </c>
      <c r="J45" s="74">
        <f>J4*0.06</f>
        <v>0</v>
      </c>
      <c r="K45" s="73">
        <v>0.06</v>
      </c>
      <c r="L45" s="58"/>
      <c r="M45" s="8"/>
      <c r="N45" s="8"/>
      <c r="O45" s="8"/>
      <c r="P45" s="8"/>
      <c r="Q45" s="8"/>
      <c r="R45" s="8"/>
      <c r="S45" s="8"/>
      <c r="T45" s="8"/>
      <c r="U45" s="8"/>
      <c r="V45" s="8"/>
    </row>
    <row r="46" spans="1:22" s="17" customFormat="1">
      <c r="B46" s="72"/>
      <c r="C46" s="72"/>
      <c r="D46" s="72"/>
      <c r="E46" s="49"/>
      <c r="F46" s="72"/>
      <c r="G46" s="57"/>
      <c r="H46" s="72"/>
      <c r="I46" s="78"/>
      <c r="J46" s="72"/>
      <c r="K46" s="57"/>
      <c r="L46" s="58"/>
      <c r="M46" s="8"/>
      <c r="N46" s="8"/>
      <c r="O46" s="8"/>
      <c r="P46" s="8"/>
      <c r="Q46" s="8"/>
      <c r="R46" s="8"/>
      <c r="S46" s="8"/>
      <c r="T46" s="8"/>
      <c r="U46" s="8"/>
      <c r="V46" s="8"/>
    </row>
    <row r="47" spans="1:22" s="17" customFormat="1">
      <c r="A47" s="5" t="s">
        <v>30</v>
      </c>
      <c r="B47" s="57"/>
      <c r="C47" s="72"/>
      <c r="D47" s="72"/>
      <c r="E47" s="21">
        <f>J41*0.2</f>
        <v>0</v>
      </c>
      <c r="F47" s="72"/>
      <c r="G47" s="73">
        <v>0.03</v>
      </c>
      <c r="H47" s="74">
        <f>J4*0.03</f>
        <v>0</v>
      </c>
      <c r="I47" s="81" t="s">
        <v>162</v>
      </c>
      <c r="J47" s="74">
        <f>J4*0.05</f>
        <v>0</v>
      </c>
      <c r="K47" s="73">
        <v>0.05</v>
      </c>
      <c r="L47" s="58"/>
      <c r="M47" s="8"/>
      <c r="N47" s="8"/>
      <c r="O47" s="8"/>
      <c r="P47" s="8"/>
      <c r="Q47" s="8"/>
      <c r="R47" s="8"/>
      <c r="S47" s="8"/>
      <c r="T47" s="8"/>
      <c r="U47" s="8"/>
      <c r="V47" s="8"/>
    </row>
    <row r="48" spans="1:22" s="17" customFormat="1">
      <c r="B48" s="72"/>
      <c r="C48" s="72"/>
      <c r="D48" s="72"/>
      <c r="E48" s="49"/>
      <c r="F48" s="72"/>
      <c r="G48" s="57"/>
      <c r="H48" s="72"/>
      <c r="I48" s="78"/>
      <c r="J48" s="72"/>
      <c r="K48" s="57"/>
      <c r="L48" s="58"/>
      <c r="M48" s="8"/>
      <c r="N48" s="8"/>
      <c r="O48" s="8"/>
      <c r="P48" s="8"/>
      <c r="Q48" s="8"/>
      <c r="R48" s="8"/>
      <c r="S48" s="8"/>
      <c r="T48" s="8"/>
      <c r="U48" s="8"/>
      <c r="V48" s="8"/>
    </row>
    <row r="49" spans="1:22" s="17" customFormat="1">
      <c r="A49" s="5" t="s">
        <v>31</v>
      </c>
      <c r="B49" s="57"/>
      <c r="C49" s="72"/>
      <c r="D49" s="72"/>
      <c r="E49" s="21">
        <f>J41*0.2</f>
        <v>0</v>
      </c>
      <c r="F49" s="72"/>
      <c r="G49" s="73">
        <v>0.02</v>
      </c>
      <c r="H49" s="74">
        <f>J4*0.02</f>
        <v>0</v>
      </c>
      <c r="I49" s="81" t="s">
        <v>162</v>
      </c>
      <c r="J49" s="74">
        <f>J4*0.05</f>
        <v>0</v>
      </c>
      <c r="K49" s="73">
        <v>0.05</v>
      </c>
      <c r="L49" s="58"/>
      <c r="M49" s="8"/>
      <c r="N49" s="8"/>
      <c r="O49" s="8"/>
      <c r="P49" s="8"/>
      <c r="Q49" s="8"/>
      <c r="R49" s="8"/>
      <c r="S49" s="8"/>
      <c r="T49" s="8"/>
      <c r="U49" s="8"/>
      <c r="V49" s="8"/>
    </row>
    <row r="50" spans="1:22" s="17" customFormat="1">
      <c r="B50" s="72"/>
      <c r="C50" s="72"/>
      <c r="D50" s="72"/>
      <c r="E50" s="49"/>
      <c r="F50" s="72"/>
      <c r="G50" s="57"/>
      <c r="H50" s="72"/>
      <c r="I50" s="78"/>
      <c r="J50" s="72"/>
      <c r="K50" s="57"/>
      <c r="L50" s="58"/>
      <c r="M50" s="8"/>
      <c r="N50" s="8"/>
      <c r="O50" s="8"/>
      <c r="P50" s="8"/>
      <c r="Q50" s="8"/>
      <c r="R50" s="8"/>
      <c r="S50" s="8"/>
      <c r="T50" s="8"/>
      <c r="U50" s="8"/>
      <c r="V50" s="8"/>
    </row>
    <row r="51" spans="1:22" s="17" customFormat="1">
      <c r="A51" s="5" t="s">
        <v>38</v>
      </c>
      <c r="B51" s="57"/>
      <c r="C51" s="72"/>
      <c r="D51" s="72"/>
      <c r="E51" s="21">
        <f>J41*0.2</f>
        <v>0</v>
      </c>
      <c r="F51" s="72"/>
      <c r="G51" s="73">
        <v>0.05</v>
      </c>
      <c r="H51" s="74">
        <f>J4*0.05</f>
        <v>0</v>
      </c>
      <c r="I51" s="81" t="s">
        <v>162</v>
      </c>
      <c r="J51" s="74">
        <f>J4*0.1</f>
        <v>0</v>
      </c>
      <c r="K51" s="73">
        <v>0.1</v>
      </c>
      <c r="L51" s="58"/>
      <c r="M51" s="8"/>
      <c r="N51" s="8"/>
      <c r="O51" s="8"/>
      <c r="P51" s="8"/>
      <c r="Q51" s="8"/>
      <c r="R51" s="8"/>
      <c r="S51" s="8"/>
      <c r="T51" s="8"/>
      <c r="U51" s="8"/>
      <c r="V51" s="8"/>
    </row>
    <row r="52" spans="1:22" s="17" customFormat="1">
      <c r="B52" s="72"/>
      <c r="C52" s="72"/>
      <c r="D52" s="72"/>
      <c r="E52" s="49"/>
      <c r="F52" s="72"/>
      <c r="G52" s="57"/>
      <c r="H52" s="72"/>
      <c r="I52" s="78"/>
      <c r="J52" s="212" t="str">
        <f>IF(J53&gt;=100, "GOOD", "NEED TO CUT YOUR SPENDING")</f>
        <v>NEED TO CUT YOUR SPENDING</v>
      </c>
      <c r="K52" s="57"/>
      <c r="L52" s="58"/>
      <c r="M52" s="8"/>
      <c r="N52" s="8"/>
      <c r="O52" s="8"/>
      <c r="P52" s="8"/>
      <c r="Q52" s="8"/>
      <c r="R52" s="8"/>
      <c r="S52" s="8"/>
      <c r="T52" s="8"/>
      <c r="U52" s="8"/>
      <c r="V52" s="8"/>
    </row>
    <row r="53" spans="1:22" s="17" customFormat="1">
      <c r="A53" s="20" t="s">
        <v>40</v>
      </c>
      <c r="B53" s="157"/>
      <c r="C53" s="158" t="s">
        <v>163</v>
      </c>
      <c r="D53" s="72"/>
      <c r="E53" s="21">
        <f>SUM(E9:E51)+J41-E35</f>
        <v>100</v>
      </c>
      <c r="F53" s="72"/>
      <c r="G53" s="57" t="s">
        <v>39</v>
      </c>
      <c r="H53" s="72"/>
      <c r="I53" s="78"/>
      <c r="J53" s="21">
        <f>J4-E53</f>
        <v>-100</v>
      </c>
      <c r="K53" s="57"/>
      <c r="L53" s="58"/>
      <c r="M53" s="8"/>
      <c r="N53" s="8"/>
      <c r="O53" s="8"/>
      <c r="P53" s="8"/>
      <c r="Q53" s="8"/>
      <c r="R53" s="8"/>
      <c r="S53" s="8"/>
      <c r="T53" s="8"/>
      <c r="U53" s="8"/>
      <c r="V53" s="8"/>
    </row>
    <row r="54" spans="1:22" s="17" customFormat="1" ht="3" customHeight="1">
      <c r="A54" s="8"/>
      <c r="B54" s="58"/>
      <c r="C54" s="58"/>
      <c r="D54" s="58"/>
      <c r="E54" s="58"/>
      <c r="F54" s="58"/>
      <c r="G54" s="58"/>
      <c r="H54" s="58"/>
      <c r="I54" s="58"/>
      <c r="J54" s="58"/>
      <c r="K54" s="58"/>
      <c r="L54" s="8"/>
      <c r="M54" s="8"/>
      <c r="N54" s="8"/>
      <c r="O54" s="8"/>
      <c r="P54" s="8"/>
      <c r="Q54" s="8"/>
      <c r="R54" s="8"/>
      <c r="S54" s="8"/>
      <c r="T54" s="8"/>
      <c r="U54" s="8"/>
      <c r="V54" s="8"/>
    </row>
    <row r="55" spans="1:22">
      <c r="A55" t="s">
        <v>452</v>
      </c>
      <c r="B55" s="51"/>
      <c r="C55" s="51"/>
      <c r="D55" s="51"/>
      <c r="E55" s="135" t="s">
        <v>233</v>
      </c>
      <c r="F55" s="51"/>
      <c r="G55" s="51"/>
      <c r="H55" s="51"/>
      <c r="I55" s="51"/>
      <c r="J55" s="51"/>
      <c r="K55" s="51"/>
    </row>
    <row r="56" spans="1:22">
      <c r="A56"/>
      <c r="B56"/>
      <c r="C56"/>
      <c r="D56"/>
      <c r="E56"/>
      <c r="F56"/>
      <c r="G56"/>
      <c r="H56"/>
      <c r="I56"/>
      <c r="J56"/>
      <c r="K56"/>
    </row>
    <row r="57" spans="1:22">
      <c r="B57"/>
      <c r="C57"/>
      <c r="D57"/>
      <c r="E57"/>
      <c r="F57"/>
      <c r="G57"/>
      <c r="H57"/>
      <c r="I57"/>
      <c r="J57"/>
      <c r="K57"/>
    </row>
    <row r="58" spans="1:22">
      <c r="A58"/>
      <c r="B58"/>
      <c r="C58"/>
      <c r="D58"/>
      <c r="E58"/>
      <c r="F58"/>
      <c r="G58"/>
      <c r="H58"/>
      <c r="I58"/>
      <c r="J58"/>
      <c r="K58"/>
    </row>
    <row r="59" spans="1:22">
      <c r="A59"/>
      <c r="B59"/>
      <c r="C59"/>
      <c r="D59"/>
      <c r="E59"/>
      <c r="F59"/>
      <c r="G59"/>
      <c r="H59"/>
      <c r="I59"/>
      <c r="J59"/>
      <c r="K59"/>
    </row>
    <row r="60" spans="1:22">
      <c r="A60"/>
      <c r="B60"/>
      <c r="C60"/>
      <c r="D60"/>
      <c r="E60"/>
      <c r="F60"/>
      <c r="G60"/>
      <c r="H60"/>
      <c r="I60"/>
      <c r="J60"/>
      <c r="K60"/>
    </row>
    <row r="61" spans="1:22">
      <c r="A61"/>
      <c r="B61"/>
      <c r="C61"/>
      <c r="D61"/>
      <c r="E61"/>
      <c r="F61"/>
      <c r="G61"/>
      <c r="H61"/>
      <c r="I61"/>
      <c r="J61"/>
      <c r="K61"/>
    </row>
    <row r="62" spans="1:22">
      <c r="A62"/>
      <c r="B62"/>
      <c r="C62"/>
      <c r="D62"/>
      <c r="E62"/>
      <c r="F62"/>
      <c r="G62"/>
      <c r="H62"/>
      <c r="I62"/>
      <c r="J62"/>
      <c r="K62"/>
    </row>
    <row r="63" spans="1:22">
      <c r="A63"/>
      <c r="B63"/>
      <c r="C63"/>
      <c r="D63"/>
      <c r="E63"/>
      <c r="F63"/>
      <c r="G63"/>
      <c r="H63"/>
      <c r="I63"/>
      <c r="J63"/>
      <c r="K63"/>
    </row>
    <row r="64" spans="1:22">
      <c r="A64"/>
      <c r="B64"/>
      <c r="C64"/>
      <c r="D64"/>
      <c r="E64"/>
      <c r="F64"/>
      <c r="G64"/>
      <c r="H64"/>
      <c r="I64"/>
      <c r="J64"/>
      <c r="K64"/>
    </row>
    <row r="65" spans="1:11">
      <c r="A65"/>
      <c r="B65"/>
      <c r="C65"/>
      <c r="D65"/>
      <c r="E65"/>
      <c r="F65"/>
      <c r="G65"/>
      <c r="H65"/>
      <c r="I65"/>
      <c r="J65"/>
      <c r="K65"/>
    </row>
    <row r="66" spans="1:11">
      <c r="A66"/>
      <c r="B66"/>
      <c r="C66"/>
      <c r="D66"/>
      <c r="E66"/>
      <c r="F66"/>
      <c r="G66"/>
      <c r="H66"/>
      <c r="I66"/>
      <c r="J66"/>
      <c r="K66"/>
    </row>
    <row r="67" spans="1:11">
      <c r="A67"/>
      <c r="B67"/>
      <c r="C67"/>
      <c r="D67"/>
      <c r="E67"/>
      <c r="F67"/>
      <c r="G67"/>
      <c r="H67"/>
      <c r="I67"/>
      <c r="J67"/>
      <c r="K67"/>
    </row>
    <row r="68" spans="1:11">
      <c r="A68"/>
      <c r="B68"/>
      <c r="C68"/>
      <c r="D68"/>
      <c r="E68"/>
      <c r="F68"/>
      <c r="G68"/>
      <c r="H68"/>
      <c r="I68"/>
      <c r="J68"/>
      <c r="K68"/>
    </row>
    <row r="69" spans="1:11">
      <c r="A69"/>
      <c r="B69"/>
      <c r="C69"/>
      <c r="D69"/>
      <c r="E69"/>
      <c r="F69"/>
      <c r="G69"/>
      <c r="H69"/>
      <c r="I69"/>
      <c r="J69"/>
      <c r="K69"/>
    </row>
    <row r="70" spans="1:11">
      <c r="A70"/>
      <c r="B70"/>
      <c r="C70"/>
      <c r="D70"/>
      <c r="E70"/>
      <c r="F70"/>
      <c r="G70"/>
      <c r="H70"/>
      <c r="I70"/>
      <c r="J70"/>
      <c r="K70"/>
    </row>
    <row r="71" spans="1:11">
      <c r="A71"/>
      <c r="B71"/>
      <c r="C71"/>
      <c r="D71"/>
      <c r="E71"/>
      <c r="F71"/>
      <c r="G71"/>
      <c r="H71"/>
      <c r="I71"/>
      <c r="J71"/>
      <c r="K71"/>
    </row>
    <row r="72" spans="1:11">
      <c r="A72"/>
      <c r="B72"/>
      <c r="C72"/>
      <c r="D72"/>
      <c r="E72"/>
      <c r="F72"/>
      <c r="G72"/>
      <c r="H72"/>
      <c r="I72"/>
      <c r="J72"/>
      <c r="K72"/>
    </row>
    <row r="73" spans="1:11">
      <c r="A73"/>
      <c r="B73"/>
      <c r="C73"/>
      <c r="D73"/>
      <c r="E73"/>
      <c r="F73"/>
      <c r="G73"/>
      <c r="H73"/>
      <c r="I73"/>
      <c r="J73"/>
      <c r="K73"/>
    </row>
    <row r="74" spans="1:11">
      <c r="A74"/>
      <c r="B74"/>
      <c r="C74"/>
      <c r="D74"/>
      <c r="E74"/>
      <c r="F74"/>
      <c r="G74"/>
      <c r="H74"/>
      <c r="I74"/>
      <c r="J74"/>
      <c r="K74"/>
    </row>
    <row r="75" spans="1:11">
      <c r="A75"/>
      <c r="B75"/>
      <c r="C75"/>
      <c r="D75"/>
      <c r="E75"/>
      <c r="F75"/>
      <c r="G75"/>
      <c r="H75"/>
      <c r="I75"/>
      <c r="J75"/>
      <c r="K75"/>
    </row>
    <row r="76" spans="1:11">
      <c r="A76"/>
      <c r="B76"/>
      <c r="C76"/>
      <c r="D76"/>
      <c r="E76"/>
      <c r="F76"/>
      <c r="G76"/>
      <c r="H76"/>
      <c r="I76"/>
      <c r="J76"/>
      <c r="K76"/>
    </row>
    <row r="77" spans="1:11">
      <c r="A77"/>
      <c r="B77"/>
      <c r="C77"/>
      <c r="D77"/>
      <c r="E77"/>
      <c r="F77"/>
      <c r="G77"/>
      <c r="H77"/>
      <c r="I77"/>
      <c r="J77"/>
      <c r="K77"/>
    </row>
    <row r="78" spans="1:11">
      <c r="A78"/>
      <c r="B78"/>
      <c r="C78"/>
      <c r="D78"/>
      <c r="E78"/>
      <c r="F78"/>
      <c r="G78"/>
      <c r="H78"/>
      <c r="I78"/>
      <c r="J78"/>
      <c r="K78"/>
    </row>
    <row r="79" spans="1:11">
      <c r="A79"/>
      <c r="B79"/>
      <c r="C79"/>
      <c r="D79"/>
      <c r="E79"/>
      <c r="F79"/>
      <c r="G79"/>
      <c r="H79"/>
      <c r="I79"/>
      <c r="J79"/>
      <c r="K79"/>
    </row>
    <row r="80" spans="1:11">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sheetData>
  <sheetProtection password="C640" sheet="1" objects="1" scenarios="1"/>
  <mergeCells count="7">
    <mergeCell ref="A1:K1"/>
    <mergeCell ref="A3:K3"/>
    <mergeCell ref="B4:D4"/>
    <mergeCell ref="A6:E6"/>
    <mergeCell ref="E4:I4"/>
    <mergeCell ref="J4:K4"/>
    <mergeCell ref="A2:K2"/>
  </mergeCells>
  <phoneticPr fontId="16"/>
  <pageMargins left="0.25" right="0.25" top="0.5" bottom="0.5" header="0.5" footer="0.5"/>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4"/>
  <sheetViews>
    <sheetView topLeftCell="A4" zoomScaleSheetLayoutView="100" workbookViewId="0">
      <selection activeCell="G18" sqref="G18"/>
    </sheetView>
  </sheetViews>
  <sheetFormatPr baseColWidth="10" defaultRowHeight="13" x14ac:dyDescent="0"/>
  <cols>
    <col min="1" max="1" width="12.33203125" style="51" customWidth="1"/>
    <col min="2" max="2" width="11" style="51" customWidth="1"/>
    <col min="3" max="3" width="21.83203125" style="82" customWidth="1"/>
    <col min="4" max="4" width="2.5" style="51" customWidth="1"/>
    <col min="5" max="6" width="10.83203125" style="51"/>
    <col min="7" max="7" width="19.1640625" style="82" customWidth="1"/>
    <col min="8" max="8" width="8" style="51" customWidth="1"/>
    <col min="9" max="9" width="11" style="51" customWidth="1"/>
    <col min="10" max="16384" width="10.83203125" style="51"/>
  </cols>
  <sheetData>
    <row r="1" spans="1:10" s="138" customFormat="1" ht="25">
      <c r="A1" s="138" t="s">
        <v>313</v>
      </c>
      <c r="C1" s="139"/>
      <c r="G1" s="139"/>
    </row>
    <row r="2" spans="1:10" s="140" customFormat="1" ht="16">
      <c r="C2" s="141"/>
      <c r="G2" s="141"/>
    </row>
    <row r="3" spans="1:10">
      <c r="A3" s="51" t="s">
        <v>136</v>
      </c>
      <c r="B3" s="480" t="str">
        <f>INFORMATION!B3</f>
        <v xml:space="preserve"> </v>
      </c>
      <c r="C3" s="341"/>
    </row>
    <row r="4" spans="1:10">
      <c r="C4" s="51"/>
      <c r="G4" s="51"/>
    </row>
    <row r="5" spans="1:10" ht="16">
      <c r="A5" s="484" t="s">
        <v>321</v>
      </c>
      <c r="B5" s="365"/>
      <c r="C5" s="365"/>
      <c r="D5" s="365"/>
      <c r="E5" s="365"/>
      <c r="F5" s="365"/>
      <c r="G5" s="365"/>
    </row>
    <row r="6" spans="1:10" ht="16">
      <c r="A6" s="83"/>
      <c r="B6" s="83"/>
      <c r="C6" s="166" t="s">
        <v>242</v>
      </c>
      <c r="D6" s="167"/>
      <c r="E6" s="167"/>
      <c r="F6" s="167"/>
      <c r="G6" s="168"/>
    </row>
    <row r="7" spans="1:10" ht="16">
      <c r="A7" s="84" t="s">
        <v>229</v>
      </c>
      <c r="B7" s="85"/>
      <c r="C7" s="91" t="s">
        <v>192</v>
      </c>
      <c r="E7" s="84" t="s">
        <v>37</v>
      </c>
      <c r="F7" s="85"/>
    </row>
    <row r="8" spans="1:10">
      <c r="A8" s="51" t="s">
        <v>322</v>
      </c>
      <c r="C8" s="142" t="str">
        <f>INFORMATION!B33</f>
        <v xml:space="preserve"> </v>
      </c>
      <c r="E8" s="51" t="s">
        <v>322</v>
      </c>
      <c r="G8" s="14" t="e">
        <f>INFORMATION!#REF!</f>
        <v>#REF!</v>
      </c>
    </row>
    <row r="9" spans="1:10">
      <c r="A9" s="51" t="s">
        <v>323</v>
      </c>
      <c r="C9" s="142" t="str">
        <f>INFORMATION!B34</f>
        <v xml:space="preserve"> </v>
      </c>
      <c r="E9" s="51" t="s">
        <v>128</v>
      </c>
      <c r="G9" s="14" t="e">
        <f>INFORMATION!#REF!</f>
        <v>#REF!</v>
      </c>
    </row>
    <row r="10" spans="1:10" s="86" customFormat="1">
      <c r="A10" s="86" t="s">
        <v>293</v>
      </c>
      <c r="C10" s="143">
        <f>INFORMATION!G33</f>
        <v>0</v>
      </c>
      <c r="E10" s="86" t="s">
        <v>293</v>
      </c>
      <c r="G10" s="144" t="e">
        <f>INFORMATION!#REF!</f>
        <v>#REF!</v>
      </c>
      <c r="H10" s="51"/>
      <c r="I10" s="51"/>
      <c r="J10" s="51"/>
    </row>
    <row r="11" spans="1:10" s="86" customFormat="1">
      <c r="A11" s="86" t="s">
        <v>274</v>
      </c>
      <c r="C11" s="143">
        <f>INFORMATION!C31</f>
        <v>0</v>
      </c>
      <c r="E11" s="86" t="s">
        <v>274</v>
      </c>
      <c r="G11" s="143" t="e">
        <f>INFORMATION!#REF!</f>
        <v>#REF!</v>
      </c>
      <c r="H11" s="51"/>
      <c r="I11" s="51"/>
      <c r="J11" s="51"/>
    </row>
    <row r="12" spans="1:10" s="86" customFormat="1">
      <c r="A12" s="86" t="s">
        <v>178</v>
      </c>
      <c r="C12" s="143">
        <f>INFORMATION!C30</f>
        <v>0</v>
      </c>
      <c r="E12" s="86" t="s">
        <v>178</v>
      </c>
      <c r="G12" s="143">
        <f>INFORMATION!C30</f>
        <v>0</v>
      </c>
      <c r="H12" s="51"/>
      <c r="I12" s="51"/>
      <c r="J12" s="51"/>
    </row>
    <row r="13" spans="1:10">
      <c r="A13" s="51" t="s">
        <v>54</v>
      </c>
      <c r="C13" s="165" t="s">
        <v>61</v>
      </c>
      <c r="E13" s="51" t="s">
        <v>53</v>
      </c>
      <c r="G13" s="165" t="s">
        <v>62</v>
      </c>
    </row>
    <row r="14" spans="1:10">
      <c r="A14" s="51" t="s">
        <v>221</v>
      </c>
      <c r="C14" s="14">
        <f>INFORMATION!G34</f>
        <v>0</v>
      </c>
      <c r="E14" s="51" t="s">
        <v>221</v>
      </c>
      <c r="G14" s="14">
        <f>INFORMATION!G34</f>
        <v>0</v>
      </c>
    </row>
    <row r="15" spans="1:10">
      <c r="A15" s="86" t="s">
        <v>194</v>
      </c>
      <c r="C15" s="16">
        <v>0</v>
      </c>
      <c r="G15" s="51"/>
    </row>
    <row r="16" spans="1:10">
      <c r="A16" s="86" t="s">
        <v>56</v>
      </c>
      <c r="C16" s="129">
        <f>INFORMATION!G29</f>
        <v>0</v>
      </c>
      <c r="E16" s="135" t="s">
        <v>44</v>
      </c>
      <c r="G16" s="134">
        <f>G14*0.02</f>
        <v>0</v>
      </c>
    </row>
    <row r="17" spans="1:10">
      <c r="A17" s="86" t="s">
        <v>276</v>
      </c>
      <c r="C17" s="14">
        <f>C16*0.00025</f>
        <v>0</v>
      </c>
      <c r="E17" s="51" t="s">
        <v>42</v>
      </c>
      <c r="G17" s="14" t="e">
        <f>((G14*0.03)+C21)/(G12+C12)</f>
        <v>#DIV/0!</v>
      </c>
    </row>
    <row r="18" spans="1:10">
      <c r="A18" s="86" t="s">
        <v>277</v>
      </c>
      <c r="C18" s="14">
        <f>C16*0.00017</f>
        <v>0</v>
      </c>
      <c r="E18" s="51" t="s">
        <v>43</v>
      </c>
      <c r="G18" s="14" t="e">
        <f>(G14/G12)</f>
        <v>#DIV/0!</v>
      </c>
    </row>
    <row r="19" spans="1:10">
      <c r="A19" s="86" t="s">
        <v>55</v>
      </c>
      <c r="C19" s="14">
        <f>C16*0.00015</f>
        <v>0</v>
      </c>
      <c r="G19" s="51"/>
    </row>
    <row r="20" spans="1:10">
      <c r="A20" s="51" t="s">
        <v>275</v>
      </c>
      <c r="C20" s="14">
        <f>C16*0.0003</f>
        <v>0</v>
      </c>
      <c r="E20" s="51" t="s">
        <v>71</v>
      </c>
      <c r="G20" s="14" t="e">
        <f>50/INFORMATION!C30</f>
        <v>#DIV/0!</v>
      </c>
    </row>
    <row r="21" spans="1:10">
      <c r="A21" s="51" t="s">
        <v>333</v>
      </c>
      <c r="C21" s="14">
        <f>(C17+C18+C19+C20)</f>
        <v>0</v>
      </c>
      <c r="E21" s="51" t="s">
        <v>129</v>
      </c>
      <c r="G21" s="14" t="e">
        <f>21/((C12+G12)/2)</f>
        <v>#DIV/0!</v>
      </c>
    </row>
    <row r="22" spans="1:10">
      <c r="A22" s="51" t="s">
        <v>76</v>
      </c>
      <c r="C22" s="142" t="e">
        <f>C21/C12</f>
        <v>#DIV/0!</v>
      </c>
      <c r="E22" s="51" t="s">
        <v>70</v>
      </c>
      <c r="G22" s="14" t="e">
        <f>50/INFORMATION!C30</f>
        <v>#DIV/0!</v>
      </c>
    </row>
    <row r="23" spans="1:10" ht="16">
      <c r="A23" s="84" t="s">
        <v>163</v>
      </c>
      <c r="B23" s="51" t="s">
        <v>172</v>
      </c>
      <c r="C23" s="82" t="s">
        <v>249</v>
      </c>
      <c r="E23" s="51" t="s">
        <v>244</v>
      </c>
      <c r="F23" s="51" t="s">
        <v>243</v>
      </c>
      <c r="G23" s="82" t="s">
        <v>245</v>
      </c>
    </row>
    <row r="24" spans="1:10">
      <c r="A24" s="51" t="s">
        <v>258</v>
      </c>
      <c r="B24" s="14">
        <f>IF($G$12=1,200, 0)</f>
        <v>0</v>
      </c>
      <c r="C24" s="14">
        <f>IF($G$12=1,20, 0)</f>
        <v>0</v>
      </c>
      <c r="D24" s="14" t="s">
        <v>163</v>
      </c>
      <c r="E24" s="14">
        <f>IF($G$12=1,32, 0)</f>
        <v>0</v>
      </c>
      <c r="F24" s="14">
        <f>IF($G$12=1,18, 0)</f>
        <v>0</v>
      </c>
      <c r="G24" s="14">
        <f>IF($G$12=1,38, 0)</f>
        <v>0</v>
      </c>
    </row>
    <row r="25" spans="1:10">
      <c r="A25" s="51" t="s">
        <v>255</v>
      </c>
      <c r="B25" s="14">
        <f>IF($G$12=2,175, 0)</f>
        <v>0</v>
      </c>
      <c r="C25" s="14">
        <f>IF($G$12=2,18, 0)</f>
        <v>0</v>
      </c>
      <c r="D25" s="14" t="s">
        <v>163</v>
      </c>
      <c r="E25" s="14">
        <f>IF($G$12=2,27, 0)</f>
        <v>0</v>
      </c>
      <c r="F25" s="14">
        <f>IF($G$12=2,16, 0)</f>
        <v>0</v>
      </c>
      <c r="G25" s="14">
        <f>IF($G$12=2,35, 0)</f>
        <v>0</v>
      </c>
      <c r="H25" s="145"/>
    </row>
    <row r="26" spans="1:10">
      <c r="A26" s="51" t="s">
        <v>256</v>
      </c>
      <c r="B26" s="14">
        <f>IF($G$12=3,165, 0)</f>
        <v>0</v>
      </c>
      <c r="C26" s="14">
        <f>IF($G$12=3,16, 0)</f>
        <v>0</v>
      </c>
      <c r="D26" s="14" t="s">
        <v>163</v>
      </c>
      <c r="E26" s="14">
        <f>IF($G$12=3,25, 0)</f>
        <v>0</v>
      </c>
      <c r="F26" s="14">
        <f>IF($G$12=3,13, 0)</f>
        <v>0</v>
      </c>
      <c r="G26" s="14">
        <f>IF($G$12=3,32, 0)</f>
        <v>0</v>
      </c>
    </row>
    <row r="27" spans="1:10">
      <c r="A27" s="51" t="s">
        <v>257</v>
      </c>
      <c r="B27" s="14">
        <f>IF($G$12=4,160, 0)</f>
        <v>0</v>
      </c>
      <c r="C27" s="14">
        <f>IF($G$12=4,15, 0)</f>
        <v>0</v>
      </c>
      <c r="D27" s="14" t="s">
        <v>163</v>
      </c>
      <c r="E27" s="14">
        <f>IF($G$12=4,24, 0)</f>
        <v>0</v>
      </c>
      <c r="F27" s="14">
        <f>IF($G$12=4,12, 0)</f>
        <v>0</v>
      </c>
      <c r="G27" s="14">
        <f>IF($G$12=4,30, 0)</f>
        <v>0</v>
      </c>
    </row>
    <row r="28" spans="1:10">
      <c r="B28" s="128">
        <f>SUM(B24:B27)</f>
        <v>0</v>
      </c>
      <c r="C28" s="128">
        <f>SUM(C24:C27)</f>
        <v>0</v>
      </c>
      <c r="D28" s="128" t="s">
        <v>163</v>
      </c>
      <c r="E28" s="128">
        <f>SUM(E24:E27)</f>
        <v>0</v>
      </c>
      <c r="F28" s="128">
        <f>SUM(F24:F27)</f>
        <v>0</v>
      </c>
      <c r="G28" s="128">
        <f>SUM(G24:G27)</f>
        <v>0</v>
      </c>
    </row>
    <row r="29" spans="1:10">
      <c r="B29" s="51" t="s">
        <v>172</v>
      </c>
      <c r="C29" s="82" t="s">
        <v>249</v>
      </c>
      <c r="E29" s="51" t="s">
        <v>244</v>
      </c>
      <c r="F29" s="51" t="s">
        <v>243</v>
      </c>
      <c r="G29" s="82" t="s">
        <v>245</v>
      </c>
    </row>
    <row r="30" spans="1:10">
      <c r="A30" s="51" t="s">
        <v>111</v>
      </c>
      <c r="B30" s="14">
        <f>F39*25</f>
        <v>0</v>
      </c>
      <c r="C30" s="14">
        <f>($F39)*25</f>
        <v>0</v>
      </c>
      <c r="D30" s="14" t="s">
        <v>163</v>
      </c>
      <c r="E30" s="14">
        <f>($F39)*5</f>
        <v>0</v>
      </c>
      <c r="F30" s="14">
        <f>($F39)*25</f>
        <v>0</v>
      </c>
      <c r="G30" s="14">
        <f>($F39)*5</f>
        <v>0</v>
      </c>
      <c r="H30" s="481"/>
    </row>
    <row r="31" spans="1:10">
      <c r="A31" s="51" t="s">
        <v>112</v>
      </c>
      <c r="B31" s="14">
        <f>($F40)*25</f>
        <v>0</v>
      </c>
      <c r="C31" s="14">
        <f>($F40)*10</f>
        <v>0</v>
      </c>
      <c r="D31" s="14"/>
      <c r="E31" s="14">
        <f>($F40)*5</f>
        <v>0</v>
      </c>
      <c r="F31" s="14">
        <f>($F40)*2.5</f>
        <v>0</v>
      </c>
      <c r="G31" s="14">
        <f>($F40)*5</f>
        <v>0</v>
      </c>
      <c r="H31" s="482"/>
    </row>
    <row r="32" spans="1:10" s="61" customFormat="1">
      <c r="A32" s="51" t="s">
        <v>113</v>
      </c>
      <c r="B32" s="14">
        <f>F41*25</f>
        <v>0</v>
      </c>
      <c r="C32" s="14">
        <f>($F41)*12.5</f>
        <v>0</v>
      </c>
      <c r="D32" s="14"/>
      <c r="E32" s="14">
        <f>($F41)*7.5</f>
        <v>0</v>
      </c>
      <c r="F32" s="14">
        <f>($F41)*5</f>
        <v>0</v>
      </c>
      <c r="G32" s="14">
        <f>($F41)*10</f>
        <v>0</v>
      </c>
      <c r="H32" s="482"/>
      <c r="I32" s="51"/>
      <c r="J32" s="51"/>
    </row>
    <row r="33" spans="1:10">
      <c r="A33" s="51" t="s">
        <v>305</v>
      </c>
      <c r="B33" s="14">
        <f>($F42)*25</f>
        <v>0</v>
      </c>
      <c r="C33" s="14">
        <f>($F42)*15</f>
        <v>0</v>
      </c>
      <c r="D33" s="14"/>
      <c r="E33" s="14">
        <f>($F42)*10</f>
        <v>0</v>
      </c>
      <c r="F33" s="14">
        <f>($F42)*10</f>
        <v>0</v>
      </c>
      <c r="G33" s="14">
        <f>($F42)*15</f>
        <v>0</v>
      </c>
      <c r="H33" s="482"/>
    </row>
    <row r="34" spans="1:10">
      <c r="A34" s="51" t="s">
        <v>114</v>
      </c>
      <c r="B34" s="14">
        <f>INFORMATION!$A$23*75</f>
        <v>0</v>
      </c>
      <c r="C34" s="14">
        <f>F43*20</f>
        <v>0</v>
      </c>
      <c r="D34" s="14"/>
      <c r="E34" s="14">
        <f>F43*17.5</f>
        <v>0</v>
      </c>
      <c r="F34" s="14">
        <f>F43*12.5</f>
        <v>0</v>
      </c>
      <c r="G34" s="14">
        <f>F43*20</f>
        <v>0</v>
      </c>
      <c r="H34" s="482"/>
    </row>
    <row r="35" spans="1:10" s="86" customFormat="1">
      <c r="A35" s="86" t="s">
        <v>81</v>
      </c>
      <c r="B35" s="128">
        <f>SUM(B30:B34)</f>
        <v>0</v>
      </c>
      <c r="C35" s="128">
        <f>SUM(C30:C34)</f>
        <v>0</v>
      </c>
      <c r="D35" s="128" t="s">
        <v>163</v>
      </c>
      <c r="E35" s="128">
        <f>SUM(E30:E34)</f>
        <v>0</v>
      </c>
      <c r="F35" s="128">
        <f>SUM(F30:F34)</f>
        <v>0</v>
      </c>
      <c r="G35" s="128">
        <f>SUM(G30:G34)</f>
        <v>0</v>
      </c>
      <c r="H35" s="51"/>
      <c r="I35" s="51"/>
      <c r="J35" s="51"/>
    </row>
    <row r="36" spans="1:10">
      <c r="C36" s="51"/>
      <c r="G36" s="51"/>
    </row>
    <row r="37" spans="1:10" ht="16">
      <c r="A37" s="483" t="s">
        <v>77</v>
      </c>
      <c r="B37" s="483"/>
      <c r="C37" s="483"/>
      <c r="E37" s="479" t="s">
        <v>294</v>
      </c>
      <c r="F37" s="479"/>
      <c r="G37" s="479"/>
    </row>
    <row r="38" spans="1:10" s="87" customFormat="1">
      <c r="A38" s="135" t="s">
        <v>285</v>
      </c>
      <c r="B38" s="51"/>
      <c r="C38" s="51"/>
      <c r="E38" s="146" t="s">
        <v>393</v>
      </c>
      <c r="F38" s="146"/>
      <c r="G38" s="146"/>
      <c r="H38" s="51"/>
      <c r="I38" s="51"/>
      <c r="J38" s="51"/>
    </row>
    <row r="39" spans="1:10" s="87" customFormat="1">
      <c r="A39" s="477" t="s">
        <v>228</v>
      </c>
      <c r="B39" s="478"/>
      <c r="C39" s="48" t="s">
        <v>163</v>
      </c>
      <c r="E39" s="51"/>
      <c r="F39" s="147">
        <f>INFORMATION!A19</f>
        <v>0</v>
      </c>
      <c r="G39" s="148" t="s">
        <v>174</v>
      </c>
      <c r="H39" s="51"/>
      <c r="I39" s="51"/>
      <c r="J39" s="51"/>
    </row>
    <row r="40" spans="1:10">
      <c r="A40" s="51" t="s">
        <v>301</v>
      </c>
      <c r="C40" s="48"/>
      <c r="F40" s="147">
        <f>INFORMATION!A20</f>
        <v>0</v>
      </c>
      <c r="G40" s="148" t="s">
        <v>175</v>
      </c>
    </row>
    <row r="41" spans="1:10" s="87" customFormat="1">
      <c r="A41" s="477" t="s">
        <v>193</v>
      </c>
      <c r="B41" s="478"/>
      <c r="C41" s="48">
        <v>0</v>
      </c>
      <c r="E41" s="51"/>
      <c r="F41" s="147">
        <f>INFORMATION!A21</f>
        <v>0</v>
      </c>
      <c r="G41" s="148" t="s">
        <v>60</v>
      </c>
      <c r="H41" s="51"/>
      <c r="I41" s="51"/>
      <c r="J41" s="51"/>
    </row>
    <row r="42" spans="1:10">
      <c r="A42" s="51" t="s">
        <v>282</v>
      </c>
      <c r="C42" s="122">
        <v>0</v>
      </c>
      <c r="F42" s="147">
        <f>INFORMATION!A22</f>
        <v>0</v>
      </c>
      <c r="G42" s="148" t="s">
        <v>79</v>
      </c>
    </row>
    <row r="43" spans="1:10">
      <c r="A43" s="477" t="s">
        <v>194</v>
      </c>
      <c r="B43" s="478"/>
      <c r="C43" s="123" t="s">
        <v>312</v>
      </c>
      <c r="F43" s="147">
        <f>INFORMATION!A23</f>
        <v>0</v>
      </c>
      <c r="G43" s="148" t="s">
        <v>176</v>
      </c>
    </row>
    <row r="44" spans="1:10">
      <c r="A44" s="477" t="s">
        <v>231</v>
      </c>
      <c r="B44" s="478"/>
      <c r="C44" s="169">
        <v>0</v>
      </c>
      <c r="F44" s="14">
        <f>SUM(F39:F43)*5</f>
        <v>0</v>
      </c>
      <c r="G44" s="14" t="s">
        <v>306</v>
      </c>
    </row>
    <row r="45" spans="1:10">
      <c r="A45" s="477" t="s">
        <v>230</v>
      </c>
      <c r="B45" s="478"/>
      <c r="C45" s="122">
        <v>0</v>
      </c>
      <c r="F45" s="149">
        <f>IF(F43&gt;=1,0,(F39*450+F40*350+F41*300+F42*300))</f>
        <v>0</v>
      </c>
      <c r="G45" s="147" t="s">
        <v>80</v>
      </c>
    </row>
    <row r="46" spans="1:10">
      <c r="A46" s="477" t="s">
        <v>132</v>
      </c>
      <c r="B46" s="478"/>
      <c r="C46" s="48">
        <v>0</v>
      </c>
      <c r="E46" s="146" t="s">
        <v>394</v>
      </c>
      <c r="F46" s="146"/>
      <c r="G46" s="146"/>
      <c r="H46" s="51" t="s">
        <v>163</v>
      </c>
    </row>
    <row r="47" spans="1:10">
      <c r="A47" s="477" t="s">
        <v>29</v>
      </c>
      <c r="B47" s="478"/>
      <c r="C47" s="15">
        <v>0</v>
      </c>
      <c r="F47" s="147">
        <f>INFORMATION!F19</f>
        <v>0</v>
      </c>
      <c r="G47" s="148" t="str">
        <f>INFORMATION!G19</f>
        <v>CATS</v>
      </c>
    </row>
    <row r="48" spans="1:10">
      <c r="A48" s="477" t="s">
        <v>133</v>
      </c>
      <c r="B48" s="478"/>
      <c r="C48" s="109">
        <f>25+(C42*0.05)/12</f>
        <v>25</v>
      </c>
      <c r="F48" s="147">
        <f>INFORMATION!F20</f>
        <v>0</v>
      </c>
      <c r="G48" s="148" t="str">
        <f>INFORMATION!G20</f>
        <v>DOGS</v>
      </c>
    </row>
    <row r="49" spans="1:7">
      <c r="A49" s="477" t="s">
        <v>134</v>
      </c>
      <c r="B49" s="478"/>
      <c r="C49" s="14" t="e">
        <f>((A62*2)*23/C46)+75</f>
        <v>#REF!</v>
      </c>
      <c r="F49" s="147">
        <f>INFORMATION!F21</f>
        <v>0</v>
      </c>
      <c r="G49" s="148" t="str">
        <f>INFORMATION!G21</f>
        <v>FISH TANKS</v>
      </c>
    </row>
    <row r="50" spans="1:7">
      <c r="C50" s="51"/>
      <c r="F50" s="147">
        <f>INFORMATION!F22</f>
        <v>0</v>
      </c>
      <c r="G50" s="148" t="str">
        <f>INFORMATION!G22</f>
        <v>REPTILES</v>
      </c>
    </row>
    <row r="51" spans="1:7">
      <c r="A51" s="51" t="s">
        <v>152</v>
      </c>
      <c r="C51" s="14">
        <v>55</v>
      </c>
      <c r="F51" s="147">
        <f>INFORMATION!F23</f>
        <v>0</v>
      </c>
      <c r="G51" s="148" t="str">
        <f>INFORMATION!G23</f>
        <v>BIRDS</v>
      </c>
    </row>
    <row r="52" spans="1:7">
      <c r="C52" s="51"/>
      <c r="F52" s="147">
        <f>INFORMATION!F24</f>
        <v>0</v>
      </c>
      <c r="G52" s="148" t="str">
        <f>INFORMATION!G24</f>
        <v>CRITTERS</v>
      </c>
    </row>
    <row r="53" spans="1:7">
      <c r="A53" s="477" t="s">
        <v>109</v>
      </c>
      <c r="B53" s="478"/>
      <c r="C53" s="109">
        <f>(C48*1.35)</f>
        <v>33.75</v>
      </c>
      <c r="F53" s="147">
        <f>INFORMATION!F25</f>
        <v>0</v>
      </c>
      <c r="G53" s="148" t="str">
        <f>INFORMATION!G25</f>
        <v>Total Pets</v>
      </c>
    </row>
    <row r="54" spans="1:7">
      <c r="A54" s="51" t="s">
        <v>47</v>
      </c>
      <c r="F54" s="82"/>
    </row>
    <row r="55" spans="1:7">
      <c r="F55" s="14">
        <f>INFORMATION!A25</f>
        <v>0</v>
      </c>
      <c r="G55" s="147" t="s">
        <v>80</v>
      </c>
    </row>
    <row r="57" spans="1:7">
      <c r="A57" s="89" t="s">
        <v>23</v>
      </c>
      <c r="B57" s="89"/>
    </row>
    <row r="58" spans="1:7">
      <c r="A58" s="51" t="s">
        <v>315</v>
      </c>
      <c r="E58" s="90" t="s">
        <v>272</v>
      </c>
    </row>
    <row r="59" spans="1:7">
      <c r="A59" s="51" t="s">
        <v>314</v>
      </c>
      <c r="E59" s="90" t="s">
        <v>24</v>
      </c>
    </row>
    <row r="60" spans="1:7">
      <c r="A60" s="51" t="s">
        <v>307</v>
      </c>
      <c r="E60" s="90" t="s">
        <v>25</v>
      </c>
    </row>
    <row r="61" spans="1:7">
      <c r="A61" s="51" t="s">
        <v>292</v>
      </c>
      <c r="C61" s="51"/>
      <c r="E61" s="90" t="s">
        <v>291</v>
      </c>
      <c r="G61" s="51"/>
    </row>
    <row r="62" spans="1:7">
      <c r="A62" s="87" t="e">
        <f>(C10+G10)*2</f>
        <v>#REF!</v>
      </c>
      <c r="B62" s="51">
        <f>F39+F40+F41+F42+F43+F47+F48+F49+F50+F51</f>
        <v>0</v>
      </c>
      <c r="C62" s="51"/>
      <c r="G62" s="88" t="s">
        <v>78</v>
      </c>
    </row>
    <row r="63" spans="1:7">
      <c r="C63" s="51"/>
      <c r="G63" s="51"/>
    </row>
    <row r="64" spans="1:7">
      <c r="C64" s="51"/>
      <c r="G64" s="51"/>
    </row>
    <row r="65" spans="3:7">
      <c r="C65" s="51" t="s">
        <v>163</v>
      </c>
      <c r="G65" s="51"/>
    </row>
    <row r="66" spans="3:7">
      <c r="C66" s="51"/>
      <c r="G66" s="51"/>
    </row>
    <row r="67" spans="3:7">
      <c r="C67" s="51"/>
      <c r="G67" s="51"/>
    </row>
    <row r="68" spans="3:7">
      <c r="C68" s="51"/>
      <c r="G68" s="51"/>
    </row>
    <row r="69" spans="3:7">
      <c r="C69" s="51"/>
      <c r="G69" s="51"/>
    </row>
    <row r="70" spans="3:7">
      <c r="C70" s="51"/>
      <c r="G70" s="51"/>
    </row>
    <row r="71" spans="3:7">
      <c r="C71" s="51"/>
      <c r="G71" s="51"/>
    </row>
    <row r="72" spans="3:7">
      <c r="C72" s="51"/>
      <c r="G72" s="51"/>
    </row>
    <row r="73" spans="3:7">
      <c r="C73" s="51"/>
      <c r="G73" s="51"/>
    </row>
    <row r="74" spans="3:7">
      <c r="C74" s="51"/>
      <c r="G74" s="51"/>
    </row>
    <row r="75" spans="3:7">
      <c r="C75" s="51"/>
      <c r="G75" s="51"/>
    </row>
    <row r="76" spans="3:7">
      <c r="C76" s="51"/>
      <c r="G76" s="51"/>
    </row>
    <row r="77" spans="3:7">
      <c r="C77" s="51"/>
      <c r="G77" s="51"/>
    </row>
    <row r="78" spans="3:7">
      <c r="C78" s="51"/>
      <c r="G78" s="51"/>
    </row>
    <row r="79" spans="3:7">
      <c r="C79" s="51"/>
      <c r="G79" s="51"/>
    </row>
    <row r="80" spans="3:7">
      <c r="C80" s="51"/>
      <c r="G80" s="51"/>
    </row>
    <row r="81" spans="3:7">
      <c r="C81" s="51"/>
      <c r="G81" s="51"/>
    </row>
    <row r="82" spans="3:7">
      <c r="C82" s="51"/>
      <c r="G82" s="51"/>
    </row>
    <row r="83" spans="3:7">
      <c r="C83" s="51"/>
      <c r="G83" s="51"/>
    </row>
    <row r="84" spans="3:7">
      <c r="C84" s="51"/>
      <c r="G84" s="51"/>
    </row>
    <row r="85" spans="3:7">
      <c r="C85" s="51"/>
      <c r="G85" s="51"/>
    </row>
    <row r="86" spans="3:7">
      <c r="C86" s="51"/>
      <c r="G86" s="51"/>
    </row>
    <row r="87" spans="3:7">
      <c r="C87" s="51"/>
      <c r="G87" s="51"/>
    </row>
    <row r="88" spans="3:7">
      <c r="C88" s="51"/>
      <c r="G88" s="51"/>
    </row>
    <row r="89" spans="3:7">
      <c r="C89" s="51"/>
      <c r="G89" s="51"/>
    </row>
    <row r="90" spans="3:7">
      <c r="C90" s="51"/>
      <c r="G90" s="51"/>
    </row>
    <row r="91" spans="3:7">
      <c r="C91" s="51"/>
      <c r="G91" s="51"/>
    </row>
    <row r="92" spans="3:7">
      <c r="C92" s="51"/>
      <c r="G92" s="51"/>
    </row>
    <row r="93" spans="3:7">
      <c r="C93" s="51"/>
      <c r="G93" s="51"/>
    </row>
    <row r="94" spans="3:7">
      <c r="C94" s="51"/>
      <c r="G94" s="51"/>
    </row>
    <row r="95" spans="3:7">
      <c r="C95" s="51"/>
      <c r="G95" s="51"/>
    </row>
    <row r="96" spans="3:7">
      <c r="C96" s="51"/>
      <c r="G96" s="51"/>
    </row>
    <row r="97" spans="3:7">
      <c r="C97" s="51"/>
      <c r="G97" s="51"/>
    </row>
    <row r="98" spans="3:7">
      <c r="C98" s="51"/>
      <c r="G98" s="51"/>
    </row>
    <row r="99" spans="3:7">
      <c r="C99" s="51"/>
      <c r="G99" s="51"/>
    </row>
    <row r="100" spans="3:7">
      <c r="C100" s="51"/>
      <c r="G100" s="51"/>
    </row>
    <row r="101" spans="3:7">
      <c r="C101" s="51"/>
      <c r="G101" s="51"/>
    </row>
    <row r="102" spans="3:7">
      <c r="C102" s="51"/>
      <c r="G102" s="51"/>
    </row>
    <row r="103" spans="3:7">
      <c r="C103" s="51"/>
      <c r="G103" s="51"/>
    </row>
    <row r="104" spans="3:7">
      <c r="C104" s="51"/>
      <c r="G104" s="51"/>
    </row>
    <row r="105" spans="3:7">
      <c r="C105" s="51"/>
      <c r="G105" s="51"/>
    </row>
    <row r="106" spans="3:7">
      <c r="C106" s="51"/>
      <c r="G106" s="51"/>
    </row>
    <row r="107" spans="3:7">
      <c r="C107" s="51"/>
      <c r="G107" s="51"/>
    </row>
    <row r="108" spans="3:7">
      <c r="C108" s="51"/>
      <c r="G108" s="51"/>
    </row>
    <row r="109" spans="3:7">
      <c r="C109" s="51"/>
      <c r="G109" s="51"/>
    </row>
    <row r="110" spans="3:7">
      <c r="C110" s="51"/>
      <c r="G110" s="51"/>
    </row>
    <row r="111" spans="3:7">
      <c r="C111" s="51"/>
      <c r="G111" s="51"/>
    </row>
    <row r="112" spans="3:7">
      <c r="C112" s="51"/>
      <c r="G112" s="51"/>
    </row>
    <row r="113" spans="3:7">
      <c r="C113" s="51"/>
      <c r="G113" s="51"/>
    </row>
    <row r="114" spans="3:7">
      <c r="C114" s="51"/>
      <c r="G114" s="51"/>
    </row>
    <row r="115" spans="3:7">
      <c r="C115" s="51"/>
      <c r="G115" s="51"/>
    </row>
    <row r="116" spans="3:7">
      <c r="C116" s="51"/>
      <c r="G116" s="51"/>
    </row>
    <row r="117" spans="3:7">
      <c r="C117" s="51"/>
      <c r="G117" s="51"/>
    </row>
    <row r="118" spans="3:7">
      <c r="C118" s="51"/>
      <c r="G118" s="51"/>
    </row>
    <row r="119" spans="3:7">
      <c r="C119" s="51"/>
      <c r="G119" s="51"/>
    </row>
    <row r="120" spans="3:7">
      <c r="C120" s="51"/>
      <c r="G120" s="51"/>
    </row>
    <row r="121" spans="3:7">
      <c r="C121" s="51"/>
      <c r="G121" s="51"/>
    </row>
    <row r="122" spans="3:7">
      <c r="C122" s="51"/>
      <c r="G122" s="51"/>
    </row>
    <row r="123" spans="3:7">
      <c r="C123" s="51"/>
      <c r="G123" s="51"/>
    </row>
    <row r="124" spans="3:7">
      <c r="C124" s="51"/>
      <c r="G124" s="51"/>
    </row>
    <row r="125" spans="3:7">
      <c r="C125" s="51"/>
      <c r="G125" s="51"/>
    </row>
    <row r="126" spans="3:7">
      <c r="C126" s="51"/>
      <c r="G126" s="51"/>
    </row>
    <row r="127" spans="3:7">
      <c r="C127" s="51"/>
      <c r="G127" s="51"/>
    </row>
    <row r="128" spans="3:7">
      <c r="C128" s="51"/>
      <c r="G128" s="51"/>
    </row>
    <row r="129" spans="3:7">
      <c r="C129" s="51"/>
      <c r="G129" s="51"/>
    </row>
    <row r="130" spans="3:7">
      <c r="C130" s="51"/>
      <c r="G130" s="51"/>
    </row>
    <row r="131" spans="3:7">
      <c r="C131" s="51"/>
      <c r="G131" s="51"/>
    </row>
    <row r="132" spans="3:7">
      <c r="C132" s="51"/>
      <c r="G132" s="51"/>
    </row>
    <row r="133" spans="3:7">
      <c r="C133" s="51"/>
      <c r="G133" s="51"/>
    </row>
    <row r="134" spans="3:7">
      <c r="C134" s="51"/>
      <c r="G134" s="51"/>
    </row>
    <row r="135" spans="3:7">
      <c r="C135" s="51"/>
      <c r="G135" s="51"/>
    </row>
    <row r="136" spans="3:7">
      <c r="C136" s="51"/>
      <c r="G136" s="51"/>
    </row>
    <row r="137" spans="3:7">
      <c r="C137" s="51"/>
      <c r="G137" s="51"/>
    </row>
    <row r="138" spans="3:7">
      <c r="C138" s="51"/>
      <c r="G138" s="51"/>
    </row>
    <row r="139" spans="3:7">
      <c r="C139" s="51"/>
      <c r="G139" s="51"/>
    </row>
    <row r="140" spans="3:7">
      <c r="C140" s="51"/>
      <c r="G140" s="51"/>
    </row>
    <row r="141" spans="3:7">
      <c r="C141" s="51"/>
      <c r="G141" s="51"/>
    </row>
    <row r="142" spans="3:7">
      <c r="C142" s="51"/>
      <c r="G142" s="51"/>
    </row>
    <row r="143" spans="3:7">
      <c r="C143" s="51"/>
      <c r="G143" s="51"/>
    </row>
    <row r="144" spans="3:7">
      <c r="C144" s="51"/>
      <c r="G144" s="51"/>
    </row>
    <row r="145" spans="3:7">
      <c r="C145" s="51"/>
      <c r="G145" s="51"/>
    </row>
    <row r="146" spans="3:7">
      <c r="C146" s="51"/>
      <c r="G146" s="51"/>
    </row>
    <row r="147" spans="3:7">
      <c r="C147" s="51"/>
      <c r="G147" s="51"/>
    </row>
    <row r="148" spans="3:7">
      <c r="C148" s="51"/>
      <c r="G148" s="51"/>
    </row>
    <row r="149" spans="3:7">
      <c r="C149" s="51"/>
      <c r="G149" s="51"/>
    </row>
    <row r="150" spans="3:7">
      <c r="C150" s="51"/>
      <c r="G150" s="51"/>
    </row>
    <row r="151" spans="3:7">
      <c r="C151" s="51"/>
      <c r="G151" s="51"/>
    </row>
    <row r="152" spans="3:7">
      <c r="C152" s="51"/>
      <c r="G152" s="51"/>
    </row>
    <row r="153" spans="3:7">
      <c r="C153" s="51"/>
      <c r="G153" s="51"/>
    </row>
    <row r="154" spans="3:7">
      <c r="C154" s="51"/>
      <c r="G154" s="51"/>
    </row>
    <row r="155" spans="3:7">
      <c r="C155" s="51"/>
      <c r="G155" s="51"/>
    </row>
    <row r="156" spans="3:7">
      <c r="C156" s="51"/>
      <c r="G156" s="51"/>
    </row>
    <row r="157" spans="3:7">
      <c r="C157" s="51"/>
      <c r="G157" s="51"/>
    </row>
    <row r="158" spans="3:7">
      <c r="C158" s="51"/>
      <c r="G158" s="51"/>
    </row>
    <row r="159" spans="3:7">
      <c r="C159" s="51"/>
      <c r="G159" s="51"/>
    </row>
    <row r="160" spans="3:7">
      <c r="C160" s="51"/>
      <c r="G160" s="51"/>
    </row>
    <row r="161" spans="3:7">
      <c r="C161" s="51"/>
      <c r="G161" s="51"/>
    </row>
    <row r="162" spans="3:7">
      <c r="C162" s="51"/>
      <c r="G162" s="51"/>
    </row>
    <row r="163" spans="3:7">
      <c r="C163" s="51"/>
      <c r="G163" s="51"/>
    </row>
    <row r="164" spans="3:7">
      <c r="C164" s="51"/>
      <c r="G164" s="51"/>
    </row>
    <row r="165" spans="3:7">
      <c r="C165" s="51"/>
      <c r="G165" s="51"/>
    </row>
    <row r="166" spans="3:7">
      <c r="C166" s="51"/>
      <c r="G166" s="51"/>
    </row>
    <row r="167" spans="3:7">
      <c r="C167" s="51"/>
      <c r="G167" s="51"/>
    </row>
    <row r="168" spans="3:7">
      <c r="C168" s="51"/>
      <c r="G168" s="51"/>
    </row>
    <row r="169" spans="3:7">
      <c r="C169" s="51"/>
      <c r="G169" s="51"/>
    </row>
    <row r="170" spans="3:7">
      <c r="C170" s="51"/>
      <c r="G170" s="51"/>
    </row>
    <row r="171" spans="3:7">
      <c r="C171" s="51"/>
      <c r="G171" s="51"/>
    </row>
    <row r="172" spans="3:7">
      <c r="C172" s="51"/>
      <c r="G172" s="51"/>
    </row>
    <row r="173" spans="3:7">
      <c r="C173" s="51"/>
      <c r="G173" s="51"/>
    </row>
    <row r="174" spans="3:7">
      <c r="C174" s="51"/>
      <c r="G174" s="51"/>
    </row>
    <row r="175" spans="3:7">
      <c r="C175" s="51"/>
      <c r="G175" s="51"/>
    </row>
    <row r="176" spans="3:7">
      <c r="C176" s="51"/>
      <c r="G176" s="51"/>
    </row>
    <row r="177" spans="3:7">
      <c r="C177" s="51"/>
      <c r="G177" s="51"/>
    </row>
    <row r="178" spans="3:7">
      <c r="C178" s="51"/>
      <c r="G178" s="51"/>
    </row>
    <row r="179" spans="3:7">
      <c r="C179" s="51"/>
      <c r="G179" s="51"/>
    </row>
    <row r="180" spans="3:7">
      <c r="C180" s="51"/>
      <c r="G180" s="51"/>
    </row>
    <row r="181" spans="3:7">
      <c r="C181" s="51"/>
      <c r="G181" s="51"/>
    </row>
    <row r="182" spans="3:7">
      <c r="C182" s="51"/>
      <c r="G182" s="51"/>
    </row>
    <row r="183" spans="3:7">
      <c r="C183" s="51"/>
      <c r="G183" s="51"/>
    </row>
    <row r="184" spans="3:7">
      <c r="C184" s="51"/>
      <c r="G184" s="51"/>
    </row>
    <row r="185" spans="3:7">
      <c r="C185" s="51"/>
      <c r="G185" s="51"/>
    </row>
    <row r="186" spans="3:7">
      <c r="C186" s="51"/>
      <c r="G186" s="51"/>
    </row>
    <row r="187" spans="3:7">
      <c r="C187" s="51"/>
      <c r="G187" s="51"/>
    </row>
    <row r="188" spans="3:7">
      <c r="C188" s="51"/>
      <c r="G188" s="51"/>
    </row>
    <row r="189" spans="3:7">
      <c r="C189" s="51"/>
      <c r="G189" s="51"/>
    </row>
    <row r="190" spans="3:7">
      <c r="C190" s="51"/>
      <c r="G190" s="51"/>
    </row>
    <row r="191" spans="3:7">
      <c r="C191" s="51"/>
      <c r="G191" s="51"/>
    </row>
    <row r="192" spans="3:7">
      <c r="C192" s="51"/>
      <c r="G192" s="51"/>
    </row>
    <row r="193" spans="3:7">
      <c r="C193" s="51"/>
      <c r="G193" s="51"/>
    </row>
    <row r="194" spans="3:7">
      <c r="C194" s="51"/>
      <c r="G194" s="51"/>
    </row>
    <row r="195" spans="3:7">
      <c r="C195" s="51"/>
      <c r="G195" s="51"/>
    </row>
    <row r="196" spans="3:7">
      <c r="C196" s="51"/>
      <c r="G196" s="51"/>
    </row>
    <row r="197" spans="3:7">
      <c r="C197" s="51"/>
      <c r="G197" s="51"/>
    </row>
    <row r="198" spans="3:7">
      <c r="C198" s="51"/>
      <c r="G198" s="51"/>
    </row>
    <row r="199" spans="3:7">
      <c r="C199" s="51"/>
      <c r="G199" s="51"/>
    </row>
    <row r="200" spans="3:7">
      <c r="C200" s="51"/>
      <c r="G200" s="51"/>
    </row>
    <row r="201" spans="3:7">
      <c r="C201" s="51"/>
      <c r="G201" s="51"/>
    </row>
    <row r="202" spans="3:7">
      <c r="C202" s="51"/>
      <c r="G202" s="51"/>
    </row>
    <row r="203" spans="3:7">
      <c r="C203" s="51"/>
      <c r="G203" s="51"/>
    </row>
    <row r="204" spans="3:7">
      <c r="C204" s="51"/>
      <c r="G204" s="51"/>
    </row>
    <row r="205" spans="3:7">
      <c r="C205" s="51"/>
      <c r="G205" s="51"/>
    </row>
    <row r="206" spans="3:7">
      <c r="C206" s="51"/>
      <c r="G206" s="51"/>
    </row>
    <row r="207" spans="3:7">
      <c r="C207" s="51"/>
      <c r="G207" s="51"/>
    </row>
    <row r="208" spans="3:7">
      <c r="C208" s="51"/>
      <c r="G208" s="51"/>
    </row>
    <row r="209" spans="3:7">
      <c r="C209" s="51"/>
      <c r="G209" s="51"/>
    </row>
    <row r="210" spans="3:7">
      <c r="C210" s="51"/>
      <c r="G210" s="51"/>
    </row>
    <row r="211" spans="3:7">
      <c r="C211" s="51"/>
      <c r="G211" s="51"/>
    </row>
    <row r="212" spans="3:7">
      <c r="C212" s="51"/>
      <c r="G212" s="51"/>
    </row>
    <row r="213" spans="3:7">
      <c r="C213" s="51"/>
      <c r="G213" s="51"/>
    </row>
    <row r="214" spans="3:7">
      <c r="C214" s="51"/>
      <c r="G214" s="51"/>
    </row>
    <row r="215" spans="3:7">
      <c r="C215" s="51"/>
      <c r="G215" s="51"/>
    </row>
    <row r="216" spans="3:7">
      <c r="C216" s="51"/>
      <c r="G216" s="51"/>
    </row>
    <row r="217" spans="3:7">
      <c r="C217" s="51"/>
      <c r="G217" s="51"/>
    </row>
    <row r="218" spans="3:7">
      <c r="C218" s="51"/>
      <c r="G218" s="51"/>
    </row>
    <row r="219" spans="3:7">
      <c r="C219" s="51"/>
      <c r="G219" s="51"/>
    </row>
    <row r="220" spans="3:7">
      <c r="C220" s="51"/>
      <c r="G220" s="51"/>
    </row>
    <row r="221" spans="3:7">
      <c r="C221" s="51"/>
      <c r="G221" s="51"/>
    </row>
    <row r="222" spans="3:7">
      <c r="C222" s="51"/>
      <c r="G222" s="51"/>
    </row>
    <row r="223" spans="3:7">
      <c r="C223" s="51"/>
      <c r="G223" s="51"/>
    </row>
    <row r="224" spans="3:7">
      <c r="C224" s="51"/>
      <c r="G224" s="51"/>
    </row>
    <row r="225" spans="3:7">
      <c r="C225" s="51"/>
      <c r="G225" s="51"/>
    </row>
    <row r="226" spans="3:7">
      <c r="C226" s="51"/>
      <c r="G226" s="51"/>
    </row>
    <row r="227" spans="3:7">
      <c r="C227" s="51"/>
      <c r="G227" s="51"/>
    </row>
    <row r="228" spans="3:7">
      <c r="C228" s="51"/>
      <c r="G228" s="51"/>
    </row>
    <row r="229" spans="3:7">
      <c r="C229" s="51"/>
      <c r="G229" s="51"/>
    </row>
    <row r="230" spans="3:7">
      <c r="C230" s="51"/>
      <c r="G230" s="51"/>
    </row>
    <row r="231" spans="3:7">
      <c r="C231" s="51"/>
      <c r="G231" s="51"/>
    </row>
    <row r="232" spans="3:7">
      <c r="C232" s="51"/>
      <c r="G232" s="51"/>
    </row>
    <row r="233" spans="3:7">
      <c r="C233" s="51"/>
      <c r="G233" s="51"/>
    </row>
    <row r="234" spans="3:7">
      <c r="C234" s="51"/>
      <c r="G234" s="51"/>
    </row>
    <row r="235" spans="3:7">
      <c r="C235" s="51"/>
      <c r="G235" s="51"/>
    </row>
    <row r="236" spans="3:7">
      <c r="C236" s="51"/>
      <c r="G236" s="51"/>
    </row>
    <row r="237" spans="3:7">
      <c r="C237" s="51"/>
      <c r="G237" s="51"/>
    </row>
    <row r="238" spans="3:7">
      <c r="C238" s="51"/>
      <c r="G238" s="51"/>
    </row>
    <row r="239" spans="3:7">
      <c r="C239" s="51"/>
      <c r="G239" s="51"/>
    </row>
    <row r="240" spans="3:7">
      <c r="C240" s="51"/>
      <c r="G240" s="51"/>
    </row>
    <row r="241" spans="3:7">
      <c r="C241" s="51"/>
      <c r="G241" s="51"/>
    </row>
    <row r="242" spans="3:7">
      <c r="C242" s="51"/>
      <c r="G242" s="51"/>
    </row>
    <row r="243" spans="3:7">
      <c r="C243" s="51"/>
      <c r="G243" s="51"/>
    </row>
    <row r="244" spans="3:7">
      <c r="C244" s="51"/>
      <c r="G244" s="51"/>
    </row>
    <row r="245" spans="3:7">
      <c r="C245" s="51"/>
      <c r="G245" s="51"/>
    </row>
    <row r="246" spans="3:7">
      <c r="C246" s="51"/>
      <c r="G246" s="51"/>
    </row>
    <row r="247" spans="3:7">
      <c r="C247" s="51"/>
      <c r="G247" s="51"/>
    </row>
    <row r="248" spans="3:7">
      <c r="C248" s="51"/>
      <c r="G248" s="51"/>
    </row>
    <row r="249" spans="3:7">
      <c r="C249" s="51"/>
      <c r="G249" s="51"/>
    </row>
    <row r="250" spans="3:7">
      <c r="C250" s="51"/>
      <c r="G250" s="51"/>
    </row>
    <row r="251" spans="3:7">
      <c r="C251" s="51"/>
      <c r="G251" s="51"/>
    </row>
    <row r="252" spans="3:7">
      <c r="C252" s="51"/>
      <c r="G252" s="51"/>
    </row>
    <row r="253" spans="3:7">
      <c r="C253" s="51"/>
      <c r="G253" s="51"/>
    </row>
    <row r="254" spans="3:7">
      <c r="C254" s="51"/>
      <c r="G254" s="51"/>
    </row>
  </sheetData>
  <sheetProtection password="C640" sheet="1" objects="1" scenarios="1"/>
  <customSheetViews>
    <customSheetView guid="{D8F4F400-1F22-11D7-BD75-C829030E573B}" showPageBreaks="1" showRuler="0">
      <selection activeCell="C15" sqref="C15"/>
      <pageSetup scale="83" orientation="portrait" horizontalDpi="4294967292" verticalDpi="4294967292"/>
    </customSheetView>
  </customSheetViews>
  <mergeCells count="15">
    <mergeCell ref="B3:C3"/>
    <mergeCell ref="H30:H34"/>
    <mergeCell ref="A47:B47"/>
    <mergeCell ref="A37:C37"/>
    <mergeCell ref="A39:B39"/>
    <mergeCell ref="A41:B41"/>
    <mergeCell ref="A43:B43"/>
    <mergeCell ref="A5:G5"/>
    <mergeCell ref="A53:B53"/>
    <mergeCell ref="E37:G37"/>
    <mergeCell ref="A48:B48"/>
    <mergeCell ref="A49:B49"/>
    <mergeCell ref="A44:B44"/>
    <mergeCell ref="A45:B45"/>
    <mergeCell ref="A46:B46"/>
  </mergeCells>
  <phoneticPr fontId="26" type="noConversion"/>
  <hyperlinks>
    <hyperlink ref="E58" r:id="rId1"/>
    <hyperlink ref="E59" r:id="rId2"/>
    <hyperlink ref="E60" r:id="rId3"/>
    <hyperlink ref="E61" r:id="rId4"/>
  </hyperlinks>
  <pageMargins left="0.35" right="0.36" top="0.5" bottom="0.5" header="0.5" footer="0.5"/>
  <pageSetup scale="83"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workbookViewId="0">
      <selection activeCell="D4" sqref="D4"/>
    </sheetView>
  </sheetViews>
  <sheetFormatPr baseColWidth="10" defaultRowHeight="15" x14ac:dyDescent="0"/>
  <cols>
    <col min="1" max="1" width="10.83203125" style="4"/>
    <col min="2" max="2" width="6.6640625" style="4" customWidth="1"/>
    <col min="3" max="3" width="20.5" style="4" customWidth="1"/>
    <col min="4" max="4" width="12.5" style="4" customWidth="1"/>
    <col min="5" max="5" width="0.33203125" style="124" customWidth="1"/>
    <col min="6" max="6" width="2" style="4" customWidth="1"/>
    <col min="7" max="7" width="12.1640625" style="4" customWidth="1"/>
    <col min="8" max="8" width="1.6640625" style="4" customWidth="1"/>
    <col min="9" max="9" width="12.1640625" style="4" bestFit="1" customWidth="1"/>
    <col min="10" max="10" width="0.33203125" style="4" hidden="1" customWidth="1"/>
    <col min="11" max="11" width="2.5" style="4" customWidth="1"/>
    <col min="12" max="12" width="13.1640625" style="4" customWidth="1"/>
    <col min="13" max="13" width="2.83203125" style="4" customWidth="1"/>
    <col min="14" max="14" width="12.33203125" style="4" customWidth="1"/>
    <col min="15" max="15" width="10.83203125" style="4" hidden="1" customWidth="1"/>
    <col min="16" max="16" width="2" style="4" customWidth="1"/>
    <col min="17" max="17" width="13.33203125" style="4" customWidth="1"/>
    <col min="18" max="18" width="2.6640625" style="4" customWidth="1"/>
    <col min="19" max="19" width="11.83203125" style="4" customWidth="1"/>
    <col min="20" max="20" width="2.33203125" style="4" customWidth="1"/>
    <col min="21" max="21" width="10.83203125" style="4"/>
    <col min="22" max="22" width="2.5" style="4" customWidth="1"/>
    <col min="23" max="23" width="10.83203125" style="4"/>
    <col min="24" max="24" width="2.83203125" style="4" customWidth="1"/>
    <col min="25" max="16384" width="10.83203125" style="4"/>
  </cols>
  <sheetData>
    <row r="1" spans="1:25">
      <c r="M1" s="207"/>
      <c r="R1" s="207"/>
    </row>
    <row r="2" spans="1:25">
      <c r="A2" s="329" t="s">
        <v>195</v>
      </c>
      <c r="B2" s="330"/>
      <c r="C2" s="330"/>
      <c r="D2" s="311" t="s">
        <v>271</v>
      </c>
      <c r="E2" s="312"/>
      <c r="F2" s="312"/>
      <c r="G2" s="312"/>
      <c r="H2" s="213"/>
      <c r="I2" s="307" t="s">
        <v>355</v>
      </c>
      <c r="J2" s="308"/>
      <c r="K2" s="308"/>
      <c r="L2" s="309"/>
      <c r="M2" s="213"/>
      <c r="N2" s="307" t="s">
        <v>356</v>
      </c>
      <c r="O2" s="308"/>
      <c r="P2" s="308"/>
      <c r="Q2" s="309"/>
      <c r="R2" s="213"/>
      <c r="S2" s="310" t="s">
        <v>385</v>
      </c>
      <c r="T2" s="308"/>
      <c r="U2" s="309"/>
      <c r="V2" s="68"/>
      <c r="W2" s="327" t="s">
        <v>340</v>
      </c>
      <c r="X2" s="327"/>
      <c r="Y2" s="327"/>
    </row>
    <row r="3" spans="1:25" ht="6" customHeight="1">
      <c r="A3" s="68"/>
      <c r="B3" s="68"/>
      <c r="C3" s="68"/>
      <c r="D3" s="313"/>
      <c r="E3" s="314"/>
      <c r="F3" s="313"/>
      <c r="G3" s="313"/>
      <c r="H3" s="213"/>
      <c r="I3" s="214"/>
      <c r="J3" s="214"/>
      <c r="K3" s="214"/>
      <c r="L3" s="214"/>
      <c r="M3" s="213"/>
      <c r="N3" s="214"/>
      <c r="O3" s="214"/>
      <c r="P3" s="214"/>
      <c r="Q3" s="214"/>
      <c r="R3" s="213"/>
      <c r="S3" s="214"/>
      <c r="T3" s="214"/>
      <c r="U3" s="214"/>
      <c r="V3" s="68"/>
      <c r="W3" s="214"/>
      <c r="X3" s="214"/>
      <c r="Y3" s="214"/>
    </row>
    <row r="4" spans="1:25" ht="15" customHeight="1">
      <c r="A4" s="316" t="s">
        <v>101</v>
      </c>
      <c r="B4" s="316"/>
      <c r="C4" s="328"/>
      <c r="D4" s="215">
        <f>E4+10000</f>
        <v>110000</v>
      </c>
      <c r="E4" s="215">
        <v>100000</v>
      </c>
      <c r="F4" s="216" t="s">
        <v>162</v>
      </c>
      <c r="G4" s="215">
        <f>E4-5000</f>
        <v>95000</v>
      </c>
      <c r="H4" s="213" t="s">
        <v>163</v>
      </c>
      <c r="I4" s="215">
        <f t="shared" ref="I4:I19" si="0">D4/12</f>
        <v>9166.6666666666661</v>
      </c>
      <c r="J4" s="215">
        <f t="shared" ref="J4:J19" si="1">E4</f>
        <v>100000</v>
      </c>
      <c r="K4" s="215" t="str">
        <f t="shared" ref="K4:K19" si="2">F4</f>
        <v>-</v>
      </c>
      <c r="L4" s="215">
        <f t="shared" ref="L4:L19" si="3">G4/12</f>
        <v>7916.666666666667</v>
      </c>
      <c r="M4" s="213"/>
      <c r="N4" s="215">
        <f t="shared" ref="N4:N19" si="4">W4*2</f>
        <v>6600</v>
      </c>
      <c r="O4" s="215">
        <f t="shared" ref="O4:O13" si="5">I4</f>
        <v>9166.6666666666661</v>
      </c>
      <c r="P4" s="215" t="s">
        <v>357</v>
      </c>
      <c r="Q4" s="215">
        <f t="shared" ref="Q4:Q19" si="6">Y4*2</f>
        <v>5700</v>
      </c>
      <c r="R4" s="213"/>
      <c r="S4" s="215">
        <f t="shared" ref="S4:S19" si="7">I4/2</f>
        <v>4583.333333333333</v>
      </c>
      <c r="T4" s="215" t="str">
        <f t="shared" ref="T4:T19" si="8">K4</f>
        <v>-</v>
      </c>
      <c r="U4" s="288">
        <f t="shared" ref="U4:U19" si="9">L4/2</f>
        <v>3958.3333333333335</v>
      </c>
      <c r="V4" s="68"/>
      <c r="W4" s="215">
        <f t="shared" ref="W4:W19" si="10">S4-(S4*0.28)</f>
        <v>3300</v>
      </c>
      <c r="X4" s="215" t="s">
        <v>217</v>
      </c>
      <c r="Y4" s="288">
        <f t="shared" ref="Y4:Y19" si="11">U4-(U4*0.28)</f>
        <v>2850</v>
      </c>
    </row>
    <row r="5" spans="1:25" ht="15" customHeight="1">
      <c r="A5" s="316" t="s">
        <v>17</v>
      </c>
      <c r="B5" s="316"/>
      <c r="C5" s="328"/>
      <c r="D5" s="217">
        <f t="shared" ref="D5:D18" si="12">E5+5000</f>
        <v>75000</v>
      </c>
      <c r="E5" s="217">
        <v>70000</v>
      </c>
      <c r="F5" s="218" t="s">
        <v>162</v>
      </c>
      <c r="G5" s="217">
        <f t="shared" ref="G5:G18" si="13">E5-5000</f>
        <v>65000</v>
      </c>
      <c r="H5" s="213"/>
      <c r="I5" s="217">
        <f t="shared" si="0"/>
        <v>6250</v>
      </c>
      <c r="J5" s="217">
        <f t="shared" si="1"/>
        <v>70000</v>
      </c>
      <c r="K5" s="217" t="str">
        <f t="shared" si="2"/>
        <v>-</v>
      </c>
      <c r="L5" s="217">
        <f t="shared" si="3"/>
        <v>5416.666666666667</v>
      </c>
      <c r="M5" s="213"/>
      <c r="N5" s="217">
        <f t="shared" si="4"/>
        <v>4500</v>
      </c>
      <c r="O5" s="217">
        <f t="shared" si="5"/>
        <v>6250</v>
      </c>
      <c r="P5" s="217" t="s">
        <v>357</v>
      </c>
      <c r="Q5" s="217">
        <f t="shared" si="6"/>
        <v>3900</v>
      </c>
      <c r="R5" s="213"/>
      <c r="S5" s="217">
        <f t="shared" si="7"/>
        <v>3125</v>
      </c>
      <c r="T5" s="217" t="str">
        <f t="shared" si="8"/>
        <v>-</v>
      </c>
      <c r="U5" s="289">
        <f t="shared" si="9"/>
        <v>2708.3333333333335</v>
      </c>
      <c r="V5" s="68"/>
      <c r="W5" s="217">
        <f t="shared" si="10"/>
        <v>2250</v>
      </c>
      <c r="X5" s="217" t="s">
        <v>217</v>
      </c>
      <c r="Y5" s="289">
        <f t="shared" si="11"/>
        <v>1950</v>
      </c>
    </row>
    <row r="6" spans="1:25" ht="15" customHeight="1">
      <c r="A6" s="247"/>
      <c r="B6" s="315" t="s">
        <v>19</v>
      </c>
      <c r="C6" s="331"/>
      <c r="D6" s="219">
        <f t="shared" si="12"/>
        <v>60000</v>
      </c>
      <c r="E6" s="220">
        <v>55000</v>
      </c>
      <c r="F6" s="221" t="s">
        <v>162</v>
      </c>
      <c r="G6" s="220">
        <f t="shared" si="13"/>
        <v>50000</v>
      </c>
      <c r="H6" s="213"/>
      <c r="I6" s="220">
        <f t="shared" si="0"/>
        <v>5000</v>
      </c>
      <c r="J6" s="220">
        <f t="shared" si="1"/>
        <v>55000</v>
      </c>
      <c r="K6" s="220" t="str">
        <f t="shared" si="2"/>
        <v>-</v>
      </c>
      <c r="L6" s="220">
        <f t="shared" si="3"/>
        <v>4166.666666666667</v>
      </c>
      <c r="M6" s="213"/>
      <c r="N6" s="219">
        <f t="shared" si="4"/>
        <v>3600</v>
      </c>
      <c r="O6" s="219">
        <f t="shared" si="5"/>
        <v>5000</v>
      </c>
      <c r="P6" s="219" t="s">
        <v>357</v>
      </c>
      <c r="Q6" s="219">
        <f t="shared" si="6"/>
        <v>3000</v>
      </c>
      <c r="R6" s="213"/>
      <c r="S6" s="220">
        <f t="shared" si="7"/>
        <v>2500</v>
      </c>
      <c r="T6" s="220" t="str">
        <f t="shared" si="8"/>
        <v>-</v>
      </c>
      <c r="U6" s="290">
        <f t="shared" si="9"/>
        <v>2083.3333333333335</v>
      </c>
      <c r="V6" s="68"/>
      <c r="W6" s="220">
        <f t="shared" si="10"/>
        <v>1800</v>
      </c>
      <c r="X6" s="220" t="s">
        <v>217</v>
      </c>
      <c r="Y6" s="290">
        <f t="shared" si="11"/>
        <v>1500</v>
      </c>
    </row>
    <row r="7" spans="1:25" ht="15" customHeight="1">
      <c r="A7" s="247"/>
      <c r="B7" s="315" t="s">
        <v>213</v>
      </c>
      <c r="C7" s="315"/>
      <c r="D7" s="219">
        <v>30000</v>
      </c>
      <c r="E7" s="220">
        <v>35000</v>
      </c>
      <c r="F7" s="221" t="s">
        <v>162</v>
      </c>
      <c r="G7" s="220">
        <v>24000</v>
      </c>
      <c r="H7" s="213"/>
      <c r="I7" s="220">
        <f t="shared" si="0"/>
        <v>2500</v>
      </c>
      <c r="J7" s="220">
        <f t="shared" si="1"/>
        <v>35000</v>
      </c>
      <c r="K7" s="220" t="str">
        <f t="shared" si="2"/>
        <v>-</v>
      </c>
      <c r="L7" s="220">
        <f t="shared" si="3"/>
        <v>2000</v>
      </c>
      <c r="M7" s="213"/>
      <c r="N7" s="219">
        <f t="shared" si="4"/>
        <v>1800</v>
      </c>
      <c r="O7" s="219">
        <f t="shared" si="5"/>
        <v>2500</v>
      </c>
      <c r="P7" s="219" t="s">
        <v>357</v>
      </c>
      <c r="Q7" s="219">
        <f t="shared" si="6"/>
        <v>1440</v>
      </c>
      <c r="R7" s="213"/>
      <c r="S7" s="220">
        <f t="shared" si="7"/>
        <v>1250</v>
      </c>
      <c r="T7" s="220" t="str">
        <f t="shared" si="8"/>
        <v>-</v>
      </c>
      <c r="U7" s="290">
        <f t="shared" si="9"/>
        <v>1000</v>
      </c>
      <c r="V7" s="68"/>
      <c r="W7" s="220">
        <f t="shared" si="10"/>
        <v>900</v>
      </c>
      <c r="X7" s="220" t="s">
        <v>217</v>
      </c>
      <c r="Y7" s="290">
        <f t="shared" si="11"/>
        <v>720</v>
      </c>
    </row>
    <row r="8" spans="1:25" ht="15" customHeight="1">
      <c r="A8" s="247"/>
      <c r="B8" s="305" t="s">
        <v>18</v>
      </c>
      <c r="C8" s="306"/>
      <c r="D8" s="217">
        <f t="shared" si="12"/>
        <v>75000</v>
      </c>
      <c r="E8" s="217">
        <v>70000</v>
      </c>
      <c r="F8" s="218" t="s">
        <v>162</v>
      </c>
      <c r="G8" s="217">
        <f t="shared" si="13"/>
        <v>65000</v>
      </c>
      <c r="H8" s="213"/>
      <c r="I8" s="217">
        <f t="shared" si="0"/>
        <v>6250</v>
      </c>
      <c r="J8" s="217">
        <f t="shared" si="1"/>
        <v>70000</v>
      </c>
      <c r="K8" s="217" t="str">
        <f t="shared" si="2"/>
        <v>-</v>
      </c>
      <c r="L8" s="217">
        <f t="shared" si="3"/>
        <v>5416.666666666667</v>
      </c>
      <c r="M8" s="213"/>
      <c r="N8" s="217">
        <f t="shared" si="4"/>
        <v>4500</v>
      </c>
      <c r="O8" s="217">
        <f t="shared" si="5"/>
        <v>6250</v>
      </c>
      <c r="P8" s="217" t="s">
        <v>357</v>
      </c>
      <c r="Q8" s="217">
        <f t="shared" si="6"/>
        <v>3900</v>
      </c>
      <c r="R8" s="213"/>
      <c r="S8" s="217">
        <f t="shared" si="7"/>
        <v>3125</v>
      </c>
      <c r="T8" s="217" t="str">
        <f t="shared" si="8"/>
        <v>-</v>
      </c>
      <c r="U8" s="289">
        <f t="shared" si="9"/>
        <v>2708.3333333333335</v>
      </c>
      <c r="V8" s="68"/>
      <c r="W8" s="217">
        <f t="shared" si="10"/>
        <v>2250</v>
      </c>
      <c r="X8" s="217" t="s">
        <v>217</v>
      </c>
      <c r="Y8" s="289">
        <f t="shared" si="11"/>
        <v>1950</v>
      </c>
    </row>
    <row r="9" spans="1:25" ht="15" customHeight="1">
      <c r="A9" s="247"/>
      <c r="B9" s="315" t="s">
        <v>455</v>
      </c>
      <c r="C9" s="315"/>
      <c r="D9" s="219">
        <f t="shared" si="12"/>
        <v>60000</v>
      </c>
      <c r="E9" s="220">
        <v>55000</v>
      </c>
      <c r="F9" s="221" t="s">
        <v>162</v>
      </c>
      <c r="G9" s="220">
        <f t="shared" si="13"/>
        <v>50000</v>
      </c>
      <c r="H9" s="213"/>
      <c r="I9" s="220">
        <f t="shared" si="0"/>
        <v>5000</v>
      </c>
      <c r="J9" s="220">
        <f t="shared" si="1"/>
        <v>55000</v>
      </c>
      <c r="K9" s="220" t="str">
        <f t="shared" si="2"/>
        <v>-</v>
      </c>
      <c r="L9" s="220">
        <f t="shared" si="3"/>
        <v>4166.666666666667</v>
      </c>
      <c r="M9" s="213"/>
      <c r="N9" s="219">
        <f t="shared" si="4"/>
        <v>3600</v>
      </c>
      <c r="O9" s="219">
        <f t="shared" si="5"/>
        <v>5000</v>
      </c>
      <c r="P9" s="219" t="s">
        <v>357</v>
      </c>
      <c r="Q9" s="219">
        <f t="shared" si="6"/>
        <v>3000</v>
      </c>
      <c r="R9" s="213"/>
      <c r="S9" s="220">
        <f t="shared" si="7"/>
        <v>2500</v>
      </c>
      <c r="T9" s="220" t="str">
        <f t="shared" si="8"/>
        <v>-</v>
      </c>
      <c r="U9" s="290">
        <f t="shared" si="9"/>
        <v>2083.3333333333335</v>
      </c>
      <c r="V9" s="68"/>
      <c r="W9" s="220">
        <f t="shared" si="10"/>
        <v>1800</v>
      </c>
      <c r="X9" s="220" t="s">
        <v>217</v>
      </c>
      <c r="Y9" s="290">
        <f t="shared" si="11"/>
        <v>1500</v>
      </c>
    </row>
    <row r="10" spans="1:25" ht="15" customHeight="1">
      <c r="A10" s="247"/>
      <c r="B10" s="315" t="s">
        <v>20</v>
      </c>
      <c r="C10" s="315"/>
      <c r="D10" s="219">
        <v>30000</v>
      </c>
      <c r="E10" s="220">
        <v>35000</v>
      </c>
      <c r="F10" s="221" t="s">
        <v>162</v>
      </c>
      <c r="G10" s="220">
        <v>24000</v>
      </c>
      <c r="H10" s="213"/>
      <c r="I10" s="220">
        <f t="shared" si="0"/>
        <v>2500</v>
      </c>
      <c r="J10" s="220">
        <f t="shared" si="1"/>
        <v>35000</v>
      </c>
      <c r="K10" s="220" t="str">
        <f t="shared" si="2"/>
        <v>-</v>
      </c>
      <c r="L10" s="220">
        <f t="shared" si="3"/>
        <v>2000</v>
      </c>
      <c r="M10" s="213"/>
      <c r="N10" s="219">
        <f t="shared" si="4"/>
        <v>1800</v>
      </c>
      <c r="O10" s="219">
        <f t="shared" si="5"/>
        <v>2500</v>
      </c>
      <c r="P10" s="219" t="s">
        <v>357</v>
      </c>
      <c r="Q10" s="219">
        <f t="shared" si="6"/>
        <v>1440</v>
      </c>
      <c r="R10" s="213"/>
      <c r="S10" s="220">
        <f t="shared" si="7"/>
        <v>1250</v>
      </c>
      <c r="T10" s="220" t="str">
        <f t="shared" si="8"/>
        <v>-</v>
      </c>
      <c r="U10" s="290">
        <f t="shared" si="9"/>
        <v>1000</v>
      </c>
      <c r="V10" s="68"/>
      <c r="W10" s="220">
        <f t="shared" si="10"/>
        <v>900</v>
      </c>
      <c r="X10" s="220" t="s">
        <v>217</v>
      </c>
      <c r="Y10" s="290">
        <f t="shared" si="11"/>
        <v>720</v>
      </c>
    </row>
    <row r="11" spans="1:25" ht="15" customHeight="1">
      <c r="A11" s="316" t="s">
        <v>100</v>
      </c>
      <c r="B11" s="316"/>
      <c r="C11" s="316"/>
      <c r="D11" s="215">
        <f>E11+10000</f>
        <v>110000</v>
      </c>
      <c r="E11" s="215">
        <v>100000</v>
      </c>
      <c r="F11" s="216" t="s">
        <v>162</v>
      </c>
      <c r="G11" s="215">
        <f>E11-5000</f>
        <v>95000</v>
      </c>
      <c r="H11" s="213"/>
      <c r="I11" s="215">
        <f t="shared" si="0"/>
        <v>9166.6666666666661</v>
      </c>
      <c r="J11" s="215">
        <f t="shared" si="1"/>
        <v>100000</v>
      </c>
      <c r="K11" s="215" t="str">
        <f t="shared" si="2"/>
        <v>-</v>
      </c>
      <c r="L11" s="215">
        <f t="shared" si="3"/>
        <v>7916.666666666667</v>
      </c>
      <c r="M11" s="213"/>
      <c r="N11" s="215">
        <f t="shared" si="4"/>
        <v>6600</v>
      </c>
      <c r="O11" s="215">
        <f t="shared" si="5"/>
        <v>9166.6666666666661</v>
      </c>
      <c r="P11" s="215" t="s">
        <v>357</v>
      </c>
      <c r="Q11" s="215">
        <f t="shared" si="6"/>
        <v>5700</v>
      </c>
      <c r="R11" s="213"/>
      <c r="S11" s="215">
        <f t="shared" si="7"/>
        <v>4583.333333333333</v>
      </c>
      <c r="T11" s="215" t="str">
        <f t="shared" si="8"/>
        <v>-</v>
      </c>
      <c r="U11" s="288">
        <f t="shared" si="9"/>
        <v>3958.3333333333335</v>
      </c>
      <c r="V11" s="68"/>
      <c r="W11" s="215">
        <f t="shared" si="10"/>
        <v>3300</v>
      </c>
      <c r="X11" s="215" t="s">
        <v>217</v>
      </c>
      <c r="Y11" s="288">
        <f t="shared" si="11"/>
        <v>2850</v>
      </c>
    </row>
    <row r="12" spans="1:25" ht="15" customHeight="1">
      <c r="A12" s="247"/>
      <c r="B12" s="305" t="s">
        <v>21</v>
      </c>
      <c r="C12" s="306"/>
      <c r="D12" s="217">
        <f>E12+5000</f>
        <v>75000</v>
      </c>
      <c r="E12" s="217">
        <v>70000</v>
      </c>
      <c r="F12" s="218" t="s">
        <v>162</v>
      </c>
      <c r="G12" s="217">
        <f>E12-5000</f>
        <v>65000</v>
      </c>
      <c r="H12" s="213"/>
      <c r="I12" s="217">
        <f t="shared" si="0"/>
        <v>6250</v>
      </c>
      <c r="J12" s="217">
        <f t="shared" si="1"/>
        <v>70000</v>
      </c>
      <c r="K12" s="217" t="str">
        <f t="shared" si="2"/>
        <v>-</v>
      </c>
      <c r="L12" s="217">
        <f t="shared" si="3"/>
        <v>5416.666666666667</v>
      </c>
      <c r="M12" s="213"/>
      <c r="N12" s="217">
        <f t="shared" si="4"/>
        <v>4500</v>
      </c>
      <c r="O12" s="217">
        <f t="shared" si="5"/>
        <v>6250</v>
      </c>
      <c r="P12" s="217" t="s">
        <v>357</v>
      </c>
      <c r="Q12" s="217">
        <f t="shared" si="6"/>
        <v>3900</v>
      </c>
      <c r="R12" s="213"/>
      <c r="S12" s="217">
        <f t="shared" si="7"/>
        <v>3125</v>
      </c>
      <c r="T12" s="217" t="str">
        <f t="shared" si="8"/>
        <v>-</v>
      </c>
      <c r="U12" s="289">
        <f t="shared" si="9"/>
        <v>2708.3333333333335</v>
      </c>
      <c r="V12" s="68"/>
      <c r="W12" s="217">
        <f t="shared" si="10"/>
        <v>2250</v>
      </c>
      <c r="X12" s="217" t="s">
        <v>217</v>
      </c>
      <c r="Y12" s="289">
        <f t="shared" si="11"/>
        <v>1950</v>
      </c>
    </row>
    <row r="13" spans="1:25" ht="15" customHeight="1">
      <c r="A13" s="247"/>
      <c r="B13" s="315" t="s">
        <v>214</v>
      </c>
      <c r="C13" s="315"/>
      <c r="D13" s="219">
        <v>30000</v>
      </c>
      <c r="E13" s="220">
        <v>35000</v>
      </c>
      <c r="F13" s="221" t="s">
        <v>162</v>
      </c>
      <c r="G13" s="220">
        <v>24000</v>
      </c>
      <c r="H13" s="213"/>
      <c r="I13" s="220">
        <f t="shared" si="0"/>
        <v>2500</v>
      </c>
      <c r="J13" s="220">
        <f t="shared" si="1"/>
        <v>35000</v>
      </c>
      <c r="K13" s="220" t="str">
        <f t="shared" si="2"/>
        <v>-</v>
      </c>
      <c r="L13" s="220">
        <f t="shared" si="3"/>
        <v>2000</v>
      </c>
      <c r="M13" s="213"/>
      <c r="N13" s="219">
        <f t="shared" si="4"/>
        <v>1800</v>
      </c>
      <c r="O13" s="219">
        <f t="shared" si="5"/>
        <v>2500</v>
      </c>
      <c r="P13" s="219" t="s">
        <v>357</v>
      </c>
      <c r="Q13" s="219">
        <f t="shared" si="6"/>
        <v>1440</v>
      </c>
      <c r="R13" s="213"/>
      <c r="S13" s="220">
        <f t="shared" si="7"/>
        <v>1250</v>
      </c>
      <c r="T13" s="220" t="str">
        <f t="shared" si="8"/>
        <v>-</v>
      </c>
      <c r="U13" s="290">
        <f t="shared" si="9"/>
        <v>1000</v>
      </c>
      <c r="V13" s="68"/>
      <c r="W13" s="220">
        <f t="shared" si="10"/>
        <v>900</v>
      </c>
      <c r="X13" s="220" t="s">
        <v>217</v>
      </c>
      <c r="Y13" s="290">
        <f t="shared" si="11"/>
        <v>720</v>
      </c>
    </row>
    <row r="14" spans="1:25" ht="15" customHeight="1">
      <c r="A14" s="247"/>
      <c r="B14" s="305" t="s">
        <v>290</v>
      </c>
      <c r="C14" s="306"/>
      <c r="D14" s="217">
        <f t="shared" si="12"/>
        <v>75000</v>
      </c>
      <c r="E14" s="217">
        <v>70000</v>
      </c>
      <c r="F14" s="218" t="s">
        <v>162</v>
      </c>
      <c r="G14" s="217">
        <f t="shared" si="13"/>
        <v>65000</v>
      </c>
      <c r="H14" s="213"/>
      <c r="I14" s="217">
        <f t="shared" si="0"/>
        <v>6250</v>
      </c>
      <c r="J14" s="217">
        <f t="shared" si="1"/>
        <v>70000</v>
      </c>
      <c r="K14" s="217" t="str">
        <f t="shared" si="2"/>
        <v>-</v>
      </c>
      <c r="L14" s="217">
        <f t="shared" si="3"/>
        <v>5416.666666666667</v>
      </c>
      <c r="M14" s="213"/>
      <c r="N14" s="217">
        <f t="shared" si="4"/>
        <v>4500</v>
      </c>
      <c r="O14" s="217">
        <f t="shared" ref="O14:O19" si="14">I14</f>
        <v>6250</v>
      </c>
      <c r="P14" s="217" t="s">
        <v>357</v>
      </c>
      <c r="Q14" s="217">
        <f t="shared" si="6"/>
        <v>3900</v>
      </c>
      <c r="R14" s="213"/>
      <c r="S14" s="217">
        <f t="shared" si="7"/>
        <v>3125</v>
      </c>
      <c r="T14" s="217" t="str">
        <f t="shared" si="8"/>
        <v>-</v>
      </c>
      <c r="U14" s="289">
        <f t="shared" si="9"/>
        <v>2708.3333333333335</v>
      </c>
      <c r="V14" s="68"/>
      <c r="W14" s="217">
        <f t="shared" si="10"/>
        <v>2250</v>
      </c>
      <c r="X14" s="217" t="s">
        <v>217</v>
      </c>
      <c r="Y14" s="289">
        <f t="shared" si="11"/>
        <v>1950</v>
      </c>
    </row>
    <row r="15" spans="1:25" ht="15" customHeight="1">
      <c r="A15" s="247"/>
      <c r="B15" s="315" t="s">
        <v>99</v>
      </c>
      <c r="C15" s="315"/>
      <c r="D15" s="219">
        <f t="shared" si="12"/>
        <v>60000</v>
      </c>
      <c r="E15" s="220">
        <v>55000</v>
      </c>
      <c r="F15" s="221" t="s">
        <v>162</v>
      </c>
      <c r="G15" s="220">
        <f t="shared" si="13"/>
        <v>50000</v>
      </c>
      <c r="H15" s="213"/>
      <c r="I15" s="220">
        <f t="shared" si="0"/>
        <v>5000</v>
      </c>
      <c r="J15" s="220">
        <f t="shared" si="1"/>
        <v>55000</v>
      </c>
      <c r="K15" s="220" t="str">
        <f t="shared" si="2"/>
        <v>-</v>
      </c>
      <c r="L15" s="220">
        <f t="shared" si="3"/>
        <v>4166.666666666667</v>
      </c>
      <c r="M15" s="213"/>
      <c r="N15" s="219">
        <f t="shared" si="4"/>
        <v>3600</v>
      </c>
      <c r="O15" s="219">
        <f t="shared" si="14"/>
        <v>5000</v>
      </c>
      <c r="P15" s="219" t="s">
        <v>357</v>
      </c>
      <c r="Q15" s="219">
        <f t="shared" si="6"/>
        <v>3000</v>
      </c>
      <c r="R15" s="213"/>
      <c r="S15" s="220">
        <f t="shared" si="7"/>
        <v>2500</v>
      </c>
      <c r="T15" s="220" t="str">
        <f t="shared" si="8"/>
        <v>-</v>
      </c>
      <c r="U15" s="290">
        <f t="shared" si="9"/>
        <v>2083.3333333333335</v>
      </c>
      <c r="V15" s="68"/>
      <c r="W15" s="220">
        <f t="shared" si="10"/>
        <v>1800</v>
      </c>
      <c r="X15" s="220" t="s">
        <v>217</v>
      </c>
      <c r="Y15" s="290">
        <f t="shared" si="11"/>
        <v>1500</v>
      </c>
    </row>
    <row r="16" spans="1:25" ht="15" customHeight="1">
      <c r="A16" s="247"/>
      <c r="B16" s="315" t="s">
        <v>215</v>
      </c>
      <c r="C16" s="315"/>
      <c r="D16" s="219">
        <v>30000</v>
      </c>
      <c r="E16" s="220">
        <v>35000</v>
      </c>
      <c r="F16" s="221" t="s">
        <v>162</v>
      </c>
      <c r="G16" s="220">
        <v>24000</v>
      </c>
      <c r="H16" s="213"/>
      <c r="I16" s="220">
        <f t="shared" si="0"/>
        <v>2500</v>
      </c>
      <c r="J16" s="220">
        <f t="shared" si="1"/>
        <v>35000</v>
      </c>
      <c r="K16" s="220" t="str">
        <f t="shared" si="2"/>
        <v>-</v>
      </c>
      <c r="L16" s="220">
        <f t="shared" si="3"/>
        <v>2000</v>
      </c>
      <c r="M16" s="213"/>
      <c r="N16" s="219">
        <f t="shared" si="4"/>
        <v>1800</v>
      </c>
      <c r="O16" s="219">
        <f t="shared" si="14"/>
        <v>2500</v>
      </c>
      <c r="P16" s="219" t="s">
        <v>357</v>
      </c>
      <c r="Q16" s="219">
        <f t="shared" si="6"/>
        <v>1440</v>
      </c>
      <c r="R16" s="213"/>
      <c r="S16" s="220">
        <f t="shared" si="7"/>
        <v>1250</v>
      </c>
      <c r="T16" s="220" t="str">
        <f t="shared" si="8"/>
        <v>-</v>
      </c>
      <c r="U16" s="290">
        <f t="shared" si="9"/>
        <v>1000</v>
      </c>
      <c r="V16" s="68"/>
      <c r="W16" s="220">
        <f t="shared" si="10"/>
        <v>900</v>
      </c>
      <c r="X16" s="220" t="s">
        <v>217</v>
      </c>
      <c r="Y16" s="290">
        <f t="shared" si="11"/>
        <v>720</v>
      </c>
    </row>
    <row r="17" spans="1:25" ht="15" customHeight="1">
      <c r="A17" s="316" t="s">
        <v>335</v>
      </c>
      <c r="B17" s="316"/>
      <c r="C17" s="316"/>
      <c r="D17" s="215">
        <f t="shared" si="12"/>
        <v>80000</v>
      </c>
      <c r="E17" s="215">
        <v>75000</v>
      </c>
      <c r="F17" s="216" t="s">
        <v>162</v>
      </c>
      <c r="G17" s="215">
        <f t="shared" si="13"/>
        <v>70000</v>
      </c>
      <c r="H17" s="213"/>
      <c r="I17" s="215">
        <f t="shared" si="0"/>
        <v>6666.666666666667</v>
      </c>
      <c r="J17" s="215">
        <f t="shared" si="1"/>
        <v>75000</v>
      </c>
      <c r="K17" s="215" t="str">
        <f t="shared" si="2"/>
        <v>-</v>
      </c>
      <c r="L17" s="215">
        <f t="shared" si="3"/>
        <v>5833.333333333333</v>
      </c>
      <c r="M17" s="213"/>
      <c r="N17" s="215">
        <f t="shared" si="4"/>
        <v>4800</v>
      </c>
      <c r="O17" s="215">
        <f t="shared" si="14"/>
        <v>6666.666666666667</v>
      </c>
      <c r="P17" s="215" t="s">
        <v>357</v>
      </c>
      <c r="Q17" s="215">
        <f t="shared" si="6"/>
        <v>4200</v>
      </c>
      <c r="R17" s="213"/>
      <c r="S17" s="215">
        <f t="shared" si="7"/>
        <v>3333.3333333333335</v>
      </c>
      <c r="T17" s="215" t="str">
        <f t="shared" si="8"/>
        <v>-</v>
      </c>
      <c r="U17" s="288">
        <f t="shared" si="9"/>
        <v>2916.6666666666665</v>
      </c>
      <c r="V17" s="68"/>
      <c r="W17" s="215">
        <f t="shared" si="10"/>
        <v>2400</v>
      </c>
      <c r="X17" s="215" t="s">
        <v>217</v>
      </c>
      <c r="Y17" s="288">
        <f t="shared" si="11"/>
        <v>2100</v>
      </c>
    </row>
    <row r="18" spans="1:25" ht="15" customHeight="1">
      <c r="A18" s="247"/>
      <c r="B18" s="315" t="s">
        <v>22</v>
      </c>
      <c r="C18" s="315"/>
      <c r="D18" s="219">
        <f t="shared" si="12"/>
        <v>60000</v>
      </c>
      <c r="E18" s="220">
        <v>55000</v>
      </c>
      <c r="F18" s="221" t="s">
        <v>162</v>
      </c>
      <c r="G18" s="220">
        <f t="shared" si="13"/>
        <v>50000</v>
      </c>
      <c r="H18" s="213"/>
      <c r="I18" s="220">
        <f t="shared" si="0"/>
        <v>5000</v>
      </c>
      <c r="J18" s="220">
        <f t="shared" si="1"/>
        <v>55000</v>
      </c>
      <c r="K18" s="220" t="str">
        <f t="shared" si="2"/>
        <v>-</v>
      </c>
      <c r="L18" s="220">
        <f t="shared" si="3"/>
        <v>4166.666666666667</v>
      </c>
      <c r="M18" s="213"/>
      <c r="N18" s="219">
        <f t="shared" si="4"/>
        <v>3600</v>
      </c>
      <c r="O18" s="219">
        <f t="shared" si="14"/>
        <v>5000</v>
      </c>
      <c r="P18" s="219" t="s">
        <v>357</v>
      </c>
      <c r="Q18" s="219">
        <f t="shared" si="6"/>
        <v>3000</v>
      </c>
      <c r="R18" s="213"/>
      <c r="S18" s="220">
        <f t="shared" si="7"/>
        <v>2500</v>
      </c>
      <c r="T18" s="220" t="str">
        <f t="shared" si="8"/>
        <v>-</v>
      </c>
      <c r="U18" s="290">
        <f t="shared" si="9"/>
        <v>2083.3333333333335</v>
      </c>
      <c r="V18" s="68"/>
      <c r="W18" s="220">
        <f t="shared" si="10"/>
        <v>1800</v>
      </c>
      <c r="X18" s="220" t="s">
        <v>217</v>
      </c>
      <c r="Y18" s="290">
        <f t="shared" si="11"/>
        <v>1500</v>
      </c>
    </row>
    <row r="19" spans="1:25" ht="15" customHeight="1">
      <c r="A19" s="247"/>
      <c r="B19" s="315" t="s">
        <v>216</v>
      </c>
      <c r="C19" s="315"/>
      <c r="D19" s="219">
        <v>30000</v>
      </c>
      <c r="E19" s="220">
        <v>35000</v>
      </c>
      <c r="F19" s="221" t="s">
        <v>162</v>
      </c>
      <c r="G19" s="220">
        <v>24000</v>
      </c>
      <c r="H19" s="213"/>
      <c r="I19" s="220">
        <f t="shared" si="0"/>
        <v>2500</v>
      </c>
      <c r="J19" s="220">
        <f t="shared" si="1"/>
        <v>35000</v>
      </c>
      <c r="K19" s="220" t="str">
        <f t="shared" si="2"/>
        <v>-</v>
      </c>
      <c r="L19" s="220">
        <f t="shared" si="3"/>
        <v>2000</v>
      </c>
      <c r="M19" s="213"/>
      <c r="N19" s="219">
        <f t="shared" si="4"/>
        <v>1800</v>
      </c>
      <c r="O19" s="219">
        <f t="shared" si="14"/>
        <v>2500</v>
      </c>
      <c r="P19" s="219" t="s">
        <v>357</v>
      </c>
      <c r="Q19" s="219">
        <f t="shared" si="6"/>
        <v>1440</v>
      </c>
      <c r="R19" s="213"/>
      <c r="S19" s="220">
        <f t="shared" si="7"/>
        <v>1250</v>
      </c>
      <c r="T19" s="220" t="str">
        <f t="shared" si="8"/>
        <v>-</v>
      </c>
      <c r="U19" s="290">
        <f t="shared" si="9"/>
        <v>1000</v>
      </c>
      <c r="V19" s="68"/>
      <c r="W19" s="220">
        <f t="shared" si="10"/>
        <v>900</v>
      </c>
      <c r="X19" s="220" t="s">
        <v>217</v>
      </c>
      <c r="Y19" s="290">
        <f t="shared" si="11"/>
        <v>720</v>
      </c>
    </row>
    <row r="20" spans="1:25" ht="15" customHeight="1">
      <c r="A20" s="247"/>
      <c r="B20" s="305" t="s">
        <v>151</v>
      </c>
      <c r="C20" s="305"/>
      <c r="D20" s="231" t="s">
        <v>163</v>
      </c>
      <c r="E20" s="231"/>
      <c r="F20" s="232" t="s">
        <v>163</v>
      </c>
      <c r="G20" s="231" t="s">
        <v>163</v>
      </c>
      <c r="H20" s="232"/>
      <c r="I20" s="231"/>
      <c r="J20" s="231"/>
      <c r="K20" s="231"/>
      <c r="L20" s="231"/>
      <c r="M20" s="232"/>
      <c r="N20" s="231"/>
      <c r="O20" s="231"/>
      <c r="P20" s="231"/>
      <c r="Q20" s="231"/>
      <c r="R20" s="232"/>
      <c r="S20" s="231"/>
      <c r="T20" s="231"/>
      <c r="U20" s="231"/>
      <c r="V20" s="232"/>
      <c r="W20" s="231"/>
      <c r="X20" s="231"/>
      <c r="Y20" s="231"/>
    </row>
    <row r="21" spans="1:25" ht="15" customHeight="1">
      <c r="A21" s="68"/>
      <c r="B21" s="315" t="s">
        <v>270</v>
      </c>
      <c r="C21" s="315"/>
      <c r="D21" s="223">
        <f>E21+1500</f>
        <v>21500</v>
      </c>
      <c r="E21" s="223">
        <v>20000</v>
      </c>
      <c r="F21" s="224" t="s">
        <v>162</v>
      </c>
      <c r="G21" s="223">
        <f>E21-1500</f>
        <v>18500</v>
      </c>
      <c r="H21" s="213"/>
      <c r="I21" s="225">
        <f>D21/12</f>
        <v>1791.6666666666667</v>
      </c>
      <c r="J21" s="226">
        <f>E21</f>
        <v>20000</v>
      </c>
      <c r="K21" s="226" t="str">
        <f>F21</f>
        <v>-</v>
      </c>
      <c r="L21" s="227">
        <f>G21/12</f>
        <v>1541.6666666666667</v>
      </c>
      <c r="M21" s="213"/>
      <c r="N21" s="225">
        <f>W21*2</f>
        <v>1290</v>
      </c>
      <c r="O21" s="226">
        <f>I21</f>
        <v>1791.6666666666667</v>
      </c>
      <c r="P21" s="226" t="s">
        <v>358</v>
      </c>
      <c r="Q21" s="227">
        <f>Y21*2</f>
        <v>1110</v>
      </c>
      <c r="R21" s="213"/>
      <c r="S21" s="225">
        <f>I21/2</f>
        <v>895.83333333333337</v>
      </c>
      <c r="T21" s="226" t="str">
        <f>K21</f>
        <v>-</v>
      </c>
      <c r="U21" s="227">
        <f>L21/2</f>
        <v>770.83333333333337</v>
      </c>
      <c r="V21" s="68"/>
      <c r="W21" s="225">
        <f>S21-(S21*0.28)</f>
        <v>645</v>
      </c>
      <c r="X21" s="226" t="s">
        <v>217</v>
      </c>
      <c r="Y21" s="227">
        <f>U21-(U21*0.28)</f>
        <v>555</v>
      </c>
    </row>
    <row r="22" spans="1:25">
      <c r="A22" s="68"/>
      <c r="B22" s="68"/>
      <c r="C22" s="68"/>
      <c r="D22" s="68"/>
      <c r="E22" s="222"/>
      <c r="F22" s="68"/>
      <c r="G22" s="68"/>
      <c r="H22" s="68" t="s">
        <v>163</v>
      </c>
      <c r="I22" s="68"/>
      <c r="J22" s="68"/>
      <c r="K22" s="68"/>
      <c r="L22" s="68"/>
      <c r="M22" s="68"/>
      <c r="N22" s="68"/>
      <c r="O22" s="68"/>
      <c r="P22" s="68"/>
      <c r="Q22" s="68"/>
      <c r="R22" s="68"/>
    </row>
    <row r="23" spans="1:25" customFormat="1" ht="13" customHeight="1">
      <c r="S23" s="317" t="s">
        <v>457</v>
      </c>
      <c r="T23" s="317"/>
      <c r="U23" s="317"/>
      <c r="W23" s="318" t="s">
        <v>456</v>
      </c>
      <c r="X23" s="319"/>
      <c r="Y23" s="320"/>
    </row>
    <row r="24" spans="1:25" customFormat="1" ht="13">
      <c r="S24" s="317"/>
      <c r="T24" s="317"/>
      <c r="U24" s="317"/>
      <c r="W24" s="321"/>
      <c r="X24" s="322"/>
      <c r="Y24" s="323"/>
    </row>
    <row r="25" spans="1:25" customFormat="1" ht="28" customHeight="1">
      <c r="S25" s="317"/>
      <c r="T25" s="317"/>
      <c r="U25" s="317"/>
      <c r="W25" s="321"/>
      <c r="X25" s="322"/>
      <c r="Y25" s="323"/>
    </row>
    <row r="26" spans="1:25" customFormat="1" ht="19" customHeight="1">
      <c r="S26" s="317"/>
      <c r="T26" s="317"/>
      <c r="U26" s="317"/>
      <c r="W26" s="324"/>
      <c r="X26" s="325"/>
      <c r="Y26" s="326"/>
    </row>
    <row r="27" spans="1:25" customFormat="1" ht="13"/>
    <row r="28" spans="1:25" customFormat="1" ht="13"/>
    <row r="29" spans="1:25" customFormat="1" ht="13"/>
    <row r="30" spans="1:25" customFormat="1" ht="13"/>
    <row r="31" spans="1:25" customFormat="1" ht="13"/>
    <row r="32" spans="1:25" customFormat="1" ht="13"/>
    <row r="33" spans="1:18" customFormat="1" ht="13"/>
    <row r="34" spans="1:18" customFormat="1" ht="13"/>
    <row r="35" spans="1:18" customFormat="1" ht="13"/>
    <row r="36" spans="1:18" customFormat="1" ht="13"/>
    <row r="37" spans="1:18" customFormat="1" ht="13"/>
    <row r="38" spans="1:18" customFormat="1" ht="13"/>
    <row r="39" spans="1:18" customFormat="1" ht="13"/>
    <row r="40" spans="1:18" customFormat="1" ht="13"/>
    <row r="41" spans="1:18" customFormat="1" ht="13"/>
    <row r="42" spans="1:18">
      <c r="A42" s="68"/>
      <c r="B42" s="68"/>
      <c r="C42" s="68"/>
      <c r="D42" s="68"/>
      <c r="E42" s="222"/>
      <c r="F42" s="68"/>
      <c r="G42" s="68"/>
      <c r="H42" s="68"/>
      <c r="R42" s="68"/>
    </row>
    <row r="43" spans="1:18">
      <c r="A43" s="68"/>
      <c r="B43" s="68"/>
      <c r="C43" s="68"/>
      <c r="D43" s="68"/>
      <c r="E43" s="222"/>
      <c r="F43" s="68"/>
      <c r="G43" s="68"/>
      <c r="H43" s="68"/>
      <c r="R43" s="68"/>
    </row>
    <row r="44" spans="1:18">
      <c r="A44" s="68"/>
      <c r="B44" s="68"/>
      <c r="C44" s="68"/>
      <c r="D44" s="68"/>
      <c r="E44" s="222"/>
      <c r="F44" s="68"/>
      <c r="G44" s="68"/>
      <c r="H44" s="68"/>
      <c r="R44" s="68"/>
    </row>
    <row r="45" spans="1:18">
      <c r="A45" s="68"/>
      <c r="B45" s="68"/>
      <c r="C45" s="68"/>
      <c r="D45" s="68"/>
      <c r="E45" s="222"/>
      <c r="F45" s="68"/>
      <c r="G45" s="68"/>
      <c r="H45" s="68"/>
      <c r="R45" s="68"/>
    </row>
    <row r="46" spans="1:18">
      <c r="A46" s="68"/>
      <c r="B46" s="68"/>
      <c r="C46" s="68"/>
      <c r="D46" s="68"/>
      <c r="E46" s="222"/>
      <c r="F46" s="68"/>
      <c r="G46" s="68"/>
      <c r="H46" s="68"/>
      <c r="R46" s="68"/>
    </row>
  </sheetData>
  <sheetProtection password="C640" sheet="1" objects="1" scenarios="1"/>
  <mergeCells count="27">
    <mergeCell ref="S23:U26"/>
    <mergeCell ref="W23:Y26"/>
    <mergeCell ref="W2:Y2"/>
    <mergeCell ref="A4:C4"/>
    <mergeCell ref="A2:C2"/>
    <mergeCell ref="B7:C7"/>
    <mergeCell ref="B19:C19"/>
    <mergeCell ref="B6:C6"/>
    <mergeCell ref="B13:C13"/>
    <mergeCell ref="B15:C15"/>
    <mergeCell ref="B12:C12"/>
    <mergeCell ref="A11:C11"/>
    <mergeCell ref="B8:C8"/>
    <mergeCell ref="B10:C10"/>
    <mergeCell ref="A5:C5"/>
    <mergeCell ref="B9:C9"/>
    <mergeCell ref="B16:C16"/>
    <mergeCell ref="B20:C20"/>
    <mergeCell ref="B21:C21"/>
    <mergeCell ref="A17:C17"/>
    <mergeCell ref="B18:C18"/>
    <mergeCell ref="B14:C14"/>
    <mergeCell ref="N2:Q2"/>
    <mergeCell ref="I2:L2"/>
    <mergeCell ref="S2:U2"/>
    <mergeCell ref="D2:G2"/>
    <mergeCell ref="D3:G3"/>
  </mergeCells>
  <phoneticPr fontId="26"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F53" sqref="F53"/>
    </sheetView>
  </sheetViews>
  <sheetFormatPr baseColWidth="10" defaultRowHeight="13" x14ac:dyDescent="0"/>
  <cols>
    <col min="1" max="1" width="18.83203125" customWidth="1"/>
    <col min="3" max="3" width="17.6640625" customWidth="1"/>
  </cols>
  <sheetData>
    <row r="1" spans="1:9" ht="33">
      <c r="A1" s="26" t="s">
        <v>339</v>
      </c>
    </row>
    <row r="2" spans="1:9" ht="18">
      <c r="A2" s="332" t="s">
        <v>351</v>
      </c>
      <c r="B2" s="332"/>
      <c r="C2" s="332"/>
      <c r="D2" s="332"/>
      <c r="E2" s="332"/>
      <c r="F2" s="332"/>
      <c r="G2" s="332"/>
      <c r="H2" s="332"/>
      <c r="I2" s="332"/>
    </row>
    <row r="3" spans="1:9">
      <c r="A3" t="s">
        <v>223</v>
      </c>
    </row>
    <row r="5" spans="1:9">
      <c r="A5" t="s">
        <v>191</v>
      </c>
    </row>
    <row r="7" spans="1:9">
      <c r="A7" t="s">
        <v>225</v>
      </c>
    </row>
    <row r="9" spans="1:9">
      <c r="A9" t="s">
        <v>145</v>
      </c>
    </row>
    <row r="11" spans="1:9" ht="16">
      <c r="A11" s="11" t="s">
        <v>163</v>
      </c>
      <c r="B11" t="s">
        <v>172</v>
      </c>
      <c r="C11" s="10" t="s">
        <v>249</v>
      </c>
      <c r="D11" t="s">
        <v>118</v>
      </c>
      <c r="E11" t="s">
        <v>244</v>
      </c>
      <c r="F11" t="s">
        <v>243</v>
      </c>
      <c r="G11" s="10" t="s">
        <v>245</v>
      </c>
      <c r="H11" t="s">
        <v>302</v>
      </c>
      <c r="I11" t="s">
        <v>226</v>
      </c>
    </row>
    <row r="12" spans="1:9">
      <c r="A12" t="s">
        <v>224</v>
      </c>
      <c r="B12" s="13">
        <v>50</v>
      </c>
      <c r="C12" s="13">
        <v>40</v>
      </c>
      <c r="D12" s="13">
        <v>20</v>
      </c>
      <c r="E12" s="13">
        <v>10</v>
      </c>
      <c r="F12" s="13">
        <v>5</v>
      </c>
      <c r="G12" s="13">
        <v>5</v>
      </c>
      <c r="H12" s="13">
        <v>500</v>
      </c>
      <c r="I12" s="13">
        <v>5</v>
      </c>
    </row>
    <row r="13" spans="1:9">
      <c r="A13" t="s">
        <v>97</v>
      </c>
      <c r="B13" s="13">
        <v>50</v>
      </c>
      <c r="C13" s="13">
        <v>20</v>
      </c>
      <c r="D13" s="13">
        <v>20</v>
      </c>
      <c r="E13" s="13">
        <v>10</v>
      </c>
      <c r="F13" s="13">
        <v>5</v>
      </c>
      <c r="G13" s="13">
        <v>5</v>
      </c>
      <c r="H13" s="13">
        <v>450</v>
      </c>
      <c r="I13" s="13">
        <v>10</v>
      </c>
    </row>
    <row r="14" spans="1:9">
      <c r="A14" t="s">
        <v>98</v>
      </c>
      <c r="B14" s="13">
        <v>50</v>
      </c>
      <c r="C14" s="13">
        <v>25</v>
      </c>
      <c r="D14" s="13">
        <v>40</v>
      </c>
      <c r="E14" s="13">
        <v>15</v>
      </c>
      <c r="F14" s="13">
        <v>15</v>
      </c>
      <c r="G14" s="13">
        <v>15</v>
      </c>
      <c r="H14" s="13">
        <v>300</v>
      </c>
      <c r="I14" s="13">
        <v>20</v>
      </c>
    </row>
    <row r="15" spans="1:9">
      <c r="A15" t="s">
        <v>324</v>
      </c>
      <c r="B15" s="13">
        <v>50</v>
      </c>
      <c r="C15" s="13">
        <v>30</v>
      </c>
      <c r="D15" s="13">
        <v>60</v>
      </c>
      <c r="E15" s="13">
        <v>20</v>
      </c>
      <c r="F15" s="13">
        <v>20</v>
      </c>
      <c r="G15" s="13">
        <v>20</v>
      </c>
      <c r="H15" s="13">
        <v>300</v>
      </c>
      <c r="I15" s="13">
        <v>25</v>
      </c>
    </row>
    <row r="16" spans="1:9">
      <c r="A16" t="s">
        <v>325</v>
      </c>
      <c r="B16" s="13">
        <v>125</v>
      </c>
      <c r="C16" s="13">
        <v>40</v>
      </c>
      <c r="D16" s="13">
        <v>80</v>
      </c>
      <c r="E16" s="13">
        <v>35</v>
      </c>
      <c r="F16" s="13">
        <v>25</v>
      </c>
      <c r="G16" s="13">
        <v>30</v>
      </c>
      <c r="H16" s="13">
        <v>0</v>
      </c>
      <c r="I16" s="13">
        <v>35</v>
      </c>
    </row>
    <row r="18" spans="1:9">
      <c r="A18" t="s">
        <v>96</v>
      </c>
    </row>
    <row r="20" spans="1:9">
      <c r="A20" t="s">
        <v>196</v>
      </c>
      <c r="B20" t="s">
        <v>300</v>
      </c>
    </row>
    <row r="22" spans="1:9">
      <c r="A22" t="s">
        <v>63</v>
      </c>
    </row>
    <row r="25" spans="1:9" ht="18">
      <c r="A25" s="332" t="s">
        <v>352</v>
      </c>
      <c r="B25" s="332"/>
      <c r="C25" s="332"/>
      <c r="D25" s="332"/>
      <c r="E25" s="332"/>
      <c r="F25" s="332"/>
      <c r="G25" s="332"/>
      <c r="H25" s="332"/>
      <c r="I25" s="332"/>
    </row>
    <row r="27" spans="1:9">
      <c r="B27" t="s">
        <v>353</v>
      </c>
      <c r="C27" s="10" t="s">
        <v>197</v>
      </c>
      <c r="D27" t="s">
        <v>354</v>
      </c>
      <c r="E27" t="s">
        <v>198</v>
      </c>
      <c r="F27" t="s">
        <v>205</v>
      </c>
      <c r="G27" s="10" t="s">
        <v>199</v>
      </c>
      <c r="H27" t="s">
        <v>209</v>
      </c>
    </row>
    <row r="28" spans="1:9">
      <c r="A28" t="s">
        <v>200</v>
      </c>
      <c r="B28" s="13">
        <v>15</v>
      </c>
      <c r="C28" s="13">
        <v>0</v>
      </c>
      <c r="D28" s="13">
        <v>5</v>
      </c>
      <c r="E28" s="13">
        <v>5</v>
      </c>
      <c r="F28" s="13">
        <f t="shared" ref="F28:F33" si="0">SUM(B28:E28)</f>
        <v>25</v>
      </c>
      <c r="G28" s="13">
        <f>INFORMATION!F19</f>
        <v>0</v>
      </c>
      <c r="H28" s="13">
        <f t="shared" ref="H28:H33" si="1">F28*G28</f>
        <v>0</v>
      </c>
    </row>
    <row r="29" spans="1:9">
      <c r="A29" t="s">
        <v>201</v>
      </c>
      <c r="B29" s="13">
        <v>25</v>
      </c>
      <c r="C29" s="13">
        <v>0</v>
      </c>
      <c r="D29" s="13">
        <v>5</v>
      </c>
      <c r="E29" s="13">
        <v>10</v>
      </c>
      <c r="F29" s="13">
        <f t="shared" si="0"/>
        <v>40</v>
      </c>
      <c r="G29" s="13">
        <f>INFORMATION!F20</f>
        <v>0</v>
      </c>
      <c r="H29" s="13">
        <f t="shared" si="1"/>
        <v>0</v>
      </c>
    </row>
    <row r="30" spans="1:9">
      <c r="A30" t="s">
        <v>202</v>
      </c>
      <c r="B30" s="13">
        <v>5</v>
      </c>
      <c r="C30" s="13">
        <v>3</v>
      </c>
      <c r="D30" s="13">
        <v>0</v>
      </c>
      <c r="E30" s="13">
        <v>2</v>
      </c>
      <c r="F30" s="13">
        <f t="shared" si="0"/>
        <v>10</v>
      </c>
      <c r="G30" s="13">
        <f>INFORMATION!F21</f>
        <v>0</v>
      </c>
      <c r="H30" s="13">
        <f t="shared" si="1"/>
        <v>0</v>
      </c>
    </row>
    <row r="31" spans="1:9">
      <c r="A31" t="s">
        <v>203</v>
      </c>
      <c r="B31" s="13">
        <v>10</v>
      </c>
      <c r="C31" s="13">
        <v>3</v>
      </c>
      <c r="D31" s="13">
        <v>0</v>
      </c>
      <c r="E31" s="13">
        <v>3</v>
      </c>
      <c r="F31" s="13">
        <f t="shared" si="0"/>
        <v>16</v>
      </c>
      <c r="G31" s="13">
        <f>INFORMATION!F22</f>
        <v>0</v>
      </c>
      <c r="H31" s="13">
        <f t="shared" si="1"/>
        <v>0</v>
      </c>
    </row>
    <row r="32" spans="1:9">
      <c r="A32" t="s">
        <v>204</v>
      </c>
      <c r="B32" s="13">
        <v>12</v>
      </c>
      <c r="C32" s="13">
        <v>4</v>
      </c>
      <c r="D32" s="13">
        <v>1</v>
      </c>
      <c r="E32" s="13">
        <v>3</v>
      </c>
      <c r="F32" s="13">
        <f t="shared" si="0"/>
        <v>20</v>
      </c>
      <c r="G32" s="13">
        <f>INFORMATION!F23</f>
        <v>0</v>
      </c>
      <c r="H32" s="13">
        <f t="shared" si="1"/>
        <v>0</v>
      </c>
    </row>
    <row r="33" spans="1:8">
      <c r="A33" t="s">
        <v>208</v>
      </c>
      <c r="B33" s="13">
        <v>9</v>
      </c>
      <c r="C33" s="13">
        <v>3</v>
      </c>
      <c r="D33" s="13">
        <v>2</v>
      </c>
      <c r="E33" s="13">
        <v>3</v>
      </c>
      <c r="F33" s="13">
        <f t="shared" si="0"/>
        <v>17</v>
      </c>
      <c r="G33" s="13">
        <f>INFORMATION!F24</f>
        <v>0</v>
      </c>
      <c r="H33" s="13">
        <f t="shared" si="1"/>
        <v>0</v>
      </c>
    </row>
    <row r="35" spans="1:8">
      <c r="G35" s="173" t="s">
        <v>210</v>
      </c>
      <c r="H35" s="13">
        <f>SUM(H28:H33)</f>
        <v>0</v>
      </c>
    </row>
  </sheetData>
  <sheetProtection password="C640" sheet="1" objects="1" scenarios="1"/>
  <mergeCells count="2">
    <mergeCell ref="A25:I25"/>
    <mergeCell ref="A2:I2"/>
  </mergeCells>
  <phoneticPr fontId="26" type="noConversion"/>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topLeftCell="A2" workbookViewId="0">
      <selection activeCell="H22" sqref="H22"/>
    </sheetView>
  </sheetViews>
  <sheetFormatPr baseColWidth="10" defaultRowHeight="13" x14ac:dyDescent="0"/>
  <cols>
    <col min="1" max="1" width="51" customWidth="1"/>
    <col min="2" max="2" width="10.1640625" customWidth="1"/>
    <col min="4" max="4" width="16.5" customWidth="1"/>
    <col min="5" max="5" width="6.5" customWidth="1"/>
  </cols>
  <sheetData>
    <row r="1" spans="1:6" ht="33">
      <c r="A1" s="37" t="s">
        <v>184</v>
      </c>
    </row>
    <row r="2" spans="1:6" s="27" customFormat="1" ht="16"/>
    <row r="3" spans="1:6">
      <c r="A3" t="s">
        <v>375</v>
      </c>
    </row>
    <row r="4" spans="1:6">
      <c r="A4" s="211" t="s">
        <v>359</v>
      </c>
    </row>
    <row r="6" spans="1:6">
      <c r="A6" t="s">
        <v>376</v>
      </c>
    </row>
    <row r="7" spans="1:6">
      <c r="A7" t="s">
        <v>458</v>
      </c>
    </row>
    <row r="8" spans="1:6">
      <c r="A8" t="s">
        <v>227</v>
      </c>
    </row>
    <row r="9" spans="1:6">
      <c r="A9" t="s">
        <v>183</v>
      </c>
    </row>
    <row r="10" spans="1:6">
      <c r="A10" t="s">
        <v>338</v>
      </c>
    </row>
    <row r="12" spans="1:6">
      <c r="A12" t="s">
        <v>147</v>
      </c>
    </row>
    <row r="13" spans="1:6">
      <c r="A13" s="35"/>
    </row>
    <row r="14" spans="1:6" ht="18">
      <c r="A14" s="36" t="s">
        <v>185</v>
      </c>
      <c r="D14" t="s">
        <v>360</v>
      </c>
    </row>
    <row r="15" spans="1:6">
      <c r="A15" s="182" t="s">
        <v>236</v>
      </c>
      <c r="B15" s="13">
        <f>INFORMATION!F9/2</f>
        <v>0</v>
      </c>
      <c r="D15" s="13">
        <f>(B15+B15*0.075)/12</f>
        <v>0</v>
      </c>
      <c r="F15" s="10" t="s">
        <v>92</v>
      </c>
    </row>
    <row r="17" spans="1:2">
      <c r="A17" s="44" t="s">
        <v>186</v>
      </c>
      <c r="B17" s="30"/>
    </row>
    <row r="18" spans="1:2">
      <c r="A18" s="38" t="s">
        <v>188</v>
      </c>
      <c r="B18" s="39"/>
    </row>
    <row r="19" spans="1:2">
      <c r="A19" s="38" t="s">
        <v>189</v>
      </c>
      <c r="B19" s="39">
        <v>2500</v>
      </c>
    </row>
    <row r="20" spans="1:2">
      <c r="A20" s="38" t="s">
        <v>190</v>
      </c>
      <c r="B20" s="39"/>
    </row>
    <row r="21" spans="1:2">
      <c r="A21" s="38" t="s">
        <v>148</v>
      </c>
      <c r="B21" s="39">
        <v>500</v>
      </c>
    </row>
    <row r="22" spans="1:2">
      <c r="A22" s="38" t="s">
        <v>5</v>
      </c>
      <c r="B22" s="39"/>
    </row>
    <row r="23" spans="1:2">
      <c r="A23" s="38" t="s">
        <v>181</v>
      </c>
      <c r="B23" s="39">
        <v>400</v>
      </c>
    </row>
    <row r="24" spans="1:2">
      <c r="A24" s="38" t="s">
        <v>308</v>
      </c>
      <c r="B24" s="39"/>
    </row>
    <row r="25" spans="1:2">
      <c r="A25" s="38" t="s">
        <v>182</v>
      </c>
      <c r="B25" s="39">
        <v>350</v>
      </c>
    </row>
    <row r="26" spans="1:2">
      <c r="A26" s="38" t="s">
        <v>38</v>
      </c>
      <c r="B26" s="39"/>
    </row>
    <row r="27" spans="1:2">
      <c r="A27" s="38" t="s">
        <v>240</v>
      </c>
      <c r="B27" s="39">
        <v>325</v>
      </c>
    </row>
    <row r="28" spans="1:2">
      <c r="A28" s="38" t="s">
        <v>241</v>
      </c>
      <c r="B28" s="39"/>
    </row>
    <row r="29" spans="1:2">
      <c r="A29" s="38" t="s">
        <v>138</v>
      </c>
      <c r="B29" s="39">
        <v>300</v>
      </c>
    </row>
    <row r="30" spans="1:2">
      <c r="A30" s="38" t="s">
        <v>247</v>
      </c>
      <c r="B30" s="39"/>
    </row>
    <row r="31" spans="1:2">
      <c r="A31" s="38" t="s">
        <v>310</v>
      </c>
      <c r="B31" s="39">
        <v>275</v>
      </c>
    </row>
    <row r="32" spans="1:2">
      <c r="A32" s="38" t="s">
        <v>311</v>
      </c>
      <c r="B32" s="39"/>
    </row>
    <row r="33" spans="1:4">
      <c r="A33" s="38" t="s">
        <v>74</v>
      </c>
      <c r="B33" s="39">
        <v>100</v>
      </c>
    </row>
    <row r="34" spans="1:4">
      <c r="A34" s="38" t="s">
        <v>336</v>
      </c>
      <c r="B34" s="39"/>
    </row>
    <row r="35" spans="1:4">
      <c r="A35" s="38" t="s">
        <v>95</v>
      </c>
      <c r="B35" s="39">
        <v>100</v>
      </c>
    </row>
    <row r="36" spans="1:4">
      <c r="A36" s="38" t="s">
        <v>31</v>
      </c>
      <c r="B36" s="39"/>
    </row>
    <row r="37" spans="1:4">
      <c r="A37" s="38" t="s">
        <v>177</v>
      </c>
      <c r="B37" s="39">
        <v>100</v>
      </c>
    </row>
    <row r="38" spans="1:4">
      <c r="A38" s="38" t="s">
        <v>219</v>
      </c>
      <c r="B38" s="39"/>
    </row>
    <row r="39" spans="1:4">
      <c r="A39" s="38" t="s">
        <v>220</v>
      </c>
      <c r="B39" s="39">
        <v>50</v>
      </c>
    </row>
    <row r="40" spans="1:4">
      <c r="A40" s="31"/>
      <c r="B40" s="32"/>
      <c r="D40" t="s">
        <v>69</v>
      </c>
    </row>
    <row r="41" spans="1:4">
      <c r="A41" s="33"/>
      <c r="B41" s="34">
        <v>5000</v>
      </c>
      <c r="D41" s="13">
        <f>B41/12</f>
        <v>416.66666666666669</v>
      </c>
    </row>
    <row r="42" spans="1:4">
      <c r="B42" s="10"/>
    </row>
    <row r="43" spans="1:4">
      <c r="A43" s="45" t="s">
        <v>187</v>
      </c>
      <c r="B43" s="29"/>
    </row>
    <row r="44" spans="1:4">
      <c r="A44" s="40" t="s">
        <v>188</v>
      </c>
      <c r="B44" s="41"/>
    </row>
    <row r="45" spans="1:4">
      <c r="A45" s="40" t="s">
        <v>189</v>
      </c>
      <c r="B45" s="41">
        <v>7500</v>
      </c>
    </row>
    <row r="46" spans="1:4">
      <c r="A46" s="40" t="s">
        <v>190</v>
      </c>
      <c r="B46" s="41"/>
    </row>
    <row r="47" spans="1:4">
      <c r="A47" s="40" t="s">
        <v>148</v>
      </c>
      <c r="B47" s="41">
        <v>1500</v>
      </c>
    </row>
    <row r="48" spans="1:4">
      <c r="A48" s="40" t="s">
        <v>5</v>
      </c>
      <c r="B48" s="41"/>
    </row>
    <row r="49" spans="1:2">
      <c r="A49" s="40" t="s">
        <v>181</v>
      </c>
      <c r="B49" s="41">
        <v>1200</v>
      </c>
    </row>
    <row r="50" spans="1:2">
      <c r="A50" s="40" t="s">
        <v>308</v>
      </c>
      <c r="B50" s="41"/>
    </row>
    <row r="51" spans="1:2">
      <c r="A51" s="40" t="s">
        <v>182</v>
      </c>
      <c r="B51" s="41">
        <v>1050</v>
      </c>
    </row>
    <row r="52" spans="1:2">
      <c r="A52" s="40" t="s">
        <v>38</v>
      </c>
      <c r="B52" s="41"/>
    </row>
    <row r="53" spans="1:2">
      <c r="A53" s="40" t="s">
        <v>240</v>
      </c>
      <c r="B53" s="41">
        <v>975</v>
      </c>
    </row>
    <row r="54" spans="1:2">
      <c r="A54" s="40" t="s">
        <v>241</v>
      </c>
      <c r="B54" s="41"/>
    </row>
    <row r="55" spans="1:2">
      <c r="A55" s="40" t="s">
        <v>138</v>
      </c>
      <c r="B55" s="41">
        <v>900</v>
      </c>
    </row>
    <row r="56" spans="1:2">
      <c r="A56" s="40" t="s">
        <v>247</v>
      </c>
      <c r="B56" s="41"/>
    </row>
    <row r="57" spans="1:2">
      <c r="A57" s="40" t="s">
        <v>310</v>
      </c>
      <c r="B57" s="41">
        <v>825</v>
      </c>
    </row>
    <row r="58" spans="1:2">
      <c r="A58" s="40" t="s">
        <v>311</v>
      </c>
      <c r="B58" s="41"/>
    </row>
    <row r="59" spans="1:2">
      <c r="A59" s="40" t="s">
        <v>74</v>
      </c>
      <c r="B59" s="41">
        <v>300</v>
      </c>
    </row>
    <row r="60" spans="1:2">
      <c r="A60" s="40" t="s">
        <v>336</v>
      </c>
      <c r="B60" s="41"/>
    </row>
    <row r="61" spans="1:2">
      <c r="A61" s="40" t="s">
        <v>95</v>
      </c>
      <c r="B61" s="41">
        <v>300</v>
      </c>
    </row>
    <row r="62" spans="1:2">
      <c r="A62" s="40" t="s">
        <v>31</v>
      </c>
      <c r="B62" s="41"/>
    </row>
    <row r="63" spans="1:2">
      <c r="A63" s="40" t="s">
        <v>177</v>
      </c>
      <c r="B63" s="41">
        <v>300</v>
      </c>
    </row>
    <row r="64" spans="1:2">
      <c r="A64" s="40" t="s">
        <v>219</v>
      </c>
      <c r="B64" s="41"/>
    </row>
    <row r="65" spans="1:4">
      <c r="A65" s="40" t="s">
        <v>220</v>
      </c>
      <c r="B65" s="41">
        <v>150</v>
      </c>
    </row>
    <row r="66" spans="1:4">
      <c r="B66" s="10"/>
      <c r="D66" t="s">
        <v>69</v>
      </c>
    </row>
    <row r="67" spans="1:4">
      <c r="B67" s="28">
        <v>15000</v>
      </c>
      <c r="D67" s="13">
        <f>B67/12</f>
        <v>1250</v>
      </c>
    </row>
    <row r="68" spans="1:4">
      <c r="B68" s="10"/>
    </row>
    <row r="69" spans="1:4">
      <c r="A69" s="45" t="s">
        <v>75</v>
      </c>
      <c r="B69" s="29"/>
    </row>
    <row r="70" spans="1:4">
      <c r="A70" s="42" t="s">
        <v>188</v>
      </c>
      <c r="B70" s="43"/>
    </row>
    <row r="71" spans="1:4">
      <c r="A71" s="42" t="s">
        <v>189</v>
      </c>
      <c r="B71" s="43">
        <v>12500</v>
      </c>
    </row>
    <row r="72" spans="1:4">
      <c r="A72" s="42" t="s">
        <v>190</v>
      </c>
      <c r="B72" s="43"/>
    </row>
    <row r="73" spans="1:4">
      <c r="A73" s="42" t="s">
        <v>148</v>
      </c>
      <c r="B73" s="43">
        <v>2500</v>
      </c>
    </row>
    <row r="74" spans="1:4">
      <c r="A74" s="42" t="s">
        <v>5</v>
      </c>
      <c r="B74" s="43"/>
    </row>
    <row r="75" spans="1:4">
      <c r="A75" s="42" t="s">
        <v>181</v>
      </c>
      <c r="B75" s="43">
        <v>2000</v>
      </c>
    </row>
    <row r="76" spans="1:4">
      <c r="A76" s="42" t="s">
        <v>308</v>
      </c>
      <c r="B76" s="43"/>
    </row>
    <row r="77" spans="1:4">
      <c r="A77" s="42" t="s">
        <v>182</v>
      </c>
      <c r="B77" s="43">
        <v>1750</v>
      </c>
    </row>
    <row r="78" spans="1:4">
      <c r="A78" s="42" t="s">
        <v>38</v>
      </c>
      <c r="B78" s="43"/>
    </row>
    <row r="79" spans="1:4">
      <c r="A79" s="42" t="s">
        <v>240</v>
      </c>
      <c r="B79" s="43">
        <v>1625</v>
      </c>
    </row>
    <row r="80" spans="1:4">
      <c r="A80" s="42" t="s">
        <v>241</v>
      </c>
      <c r="B80" s="43"/>
    </row>
    <row r="81" spans="1:4">
      <c r="A81" s="42" t="s">
        <v>138</v>
      </c>
      <c r="B81" s="43">
        <v>1500</v>
      </c>
    </row>
    <row r="82" spans="1:4">
      <c r="A82" s="42" t="s">
        <v>247</v>
      </c>
      <c r="B82" s="43"/>
    </row>
    <row r="83" spans="1:4">
      <c r="A83" s="42" t="s">
        <v>310</v>
      </c>
      <c r="B83" s="43">
        <v>1375</v>
      </c>
    </row>
    <row r="84" spans="1:4">
      <c r="A84" s="42" t="s">
        <v>311</v>
      </c>
      <c r="B84" s="43"/>
    </row>
    <row r="85" spans="1:4">
      <c r="A85" s="42" t="s">
        <v>74</v>
      </c>
      <c r="B85" s="43">
        <v>500</v>
      </c>
    </row>
    <row r="86" spans="1:4">
      <c r="A86" s="42" t="s">
        <v>336</v>
      </c>
      <c r="B86" s="43"/>
    </row>
    <row r="87" spans="1:4">
      <c r="A87" s="42" t="s">
        <v>95</v>
      </c>
      <c r="B87" s="43">
        <v>500</v>
      </c>
    </row>
    <row r="88" spans="1:4">
      <c r="A88" s="42" t="s">
        <v>31</v>
      </c>
      <c r="B88" s="43"/>
    </row>
    <row r="89" spans="1:4">
      <c r="A89" s="42" t="s">
        <v>177</v>
      </c>
      <c r="B89" s="43">
        <v>500</v>
      </c>
    </row>
    <row r="90" spans="1:4">
      <c r="A90" s="42" t="s">
        <v>219</v>
      </c>
      <c r="B90" s="43"/>
    </row>
    <row r="91" spans="1:4">
      <c r="A91" s="42" t="s">
        <v>220</v>
      </c>
      <c r="B91" s="43">
        <v>250</v>
      </c>
    </row>
    <row r="92" spans="1:4">
      <c r="B92" s="10"/>
      <c r="D92" t="s">
        <v>69</v>
      </c>
    </row>
    <row r="93" spans="1:4">
      <c r="B93" s="28">
        <v>25000</v>
      </c>
      <c r="D93" s="13">
        <f>B93/12</f>
        <v>2083.3333333333335</v>
      </c>
    </row>
    <row r="94" spans="1:4">
      <c r="B94" s="10"/>
    </row>
    <row r="95" spans="1:4">
      <c r="B95" s="10"/>
    </row>
    <row r="96" spans="1:4">
      <c r="B96" s="10"/>
    </row>
    <row r="97" spans="1:2">
      <c r="B97" s="10"/>
    </row>
    <row r="98" spans="1:2">
      <c r="A98" t="s">
        <v>387</v>
      </c>
      <c r="B98" s="10"/>
    </row>
    <row r="99" spans="1:2">
      <c r="A99" t="s">
        <v>173</v>
      </c>
      <c r="B99" s="10"/>
    </row>
    <row r="100" spans="1:2">
      <c r="A100" t="s">
        <v>110</v>
      </c>
      <c r="B100" s="10"/>
    </row>
    <row r="101" spans="1:2">
      <c r="B101" s="10"/>
    </row>
    <row r="102" spans="1:2">
      <c r="B102" s="10"/>
    </row>
    <row r="103" spans="1:2">
      <c r="B103" s="10"/>
    </row>
    <row r="104" spans="1:2">
      <c r="B104" s="10"/>
    </row>
    <row r="105" spans="1:2">
      <c r="B105" s="10"/>
    </row>
    <row r="106" spans="1:2">
      <c r="B106" s="10"/>
    </row>
    <row r="107" spans="1:2">
      <c r="B107" s="10"/>
    </row>
    <row r="108" spans="1:2">
      <c r="B108" s="10"/>
    </row>
    <row r="109" spans="1:2">
      <c r="B109" s="10"/>
    </row>
    <row r="110" spans="1:2">
      <c r="B110" s="10"/>
    </row>
    <row r="111" spans="1:2">
      <c r="B111" s="10"/>
    </row>
    <row r="112" spans="1:2">
      <c r="B112" s="10"/>
    </row>
    <row r="113" spans="2:2">
      <c r="B113" s="10"/>
    </row>
  </sheetData>
  <sheetProtection password="C640" sheet="1" objects="1" scenarios="1"/>
  <phoneticPr fontId="26" type="noConversion"/>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2"/>
  <sheetViews>
    <sheetView topLeftCell="A10" zoomScale="150" zoomScaleSheetLayoutView="100" workbookViewId="0">
      <selection activeCell="D5" sqref="D5"/>
    </sheetView>
  </sheetViews>
  <sheetFormatPr baseColWidth="10" defaultRowHeight="13" x14ac:dyDescent="0"/>
  <cols>
    <col min="1" max="1" width="10.83203125" style="1"/>
    <col min="2" max="2" width="8.5" style="1" customWidth="1"/>
    <col min="3" max="3" width="9.5" style="1" customWidth="1"/>
    <col min="4" max="4" width="11.83203125" style="1" customWidth="1"/>
    <col min="5" max="5" width="9.6640625" style="7" customWidth="1"/>
    <col min="6" max="6" width="1.5" style="1" customWidth="1"/>
    <col min="7" max="7" width="5.5" style="3" customWidth="1"/>
    <col min="8" max="8" width="10.5" style="1" customWidth="1"/>
    <col min="9" max="9" width="2.33203125" style="2" customWidth="1"/>
    <col min="10" max="10" width="12.1640625" style="1" bestFit="1" customWidth="1"/>
    <col min="11" max="11" width="4.1640625" customWidth="1"/>
    <col min="12" max="12" width="2" customWidth="1"/>
    <col min="23" max="16384" width="10.83203125" style="1"/>
  </cols>
  <sheetData>
    <row r="1" spans="1:22" ht="28">
      <c r="A1" s="113" t="s">
        <v>462</v>
      </c>
      <c r="B1" s="54"/>
      <c r="C1" s="54"/>
      <c r="D1" s="54"/>
      <c r="E1" s="150"/>
      <c r="F1" s="335" t="s">
        <v>461</v>
      </c>
      <c r="G1" s="336"/>
      <c r="H1" s="336"/>
      <c r="I1" s="336"/>
      <c r="J1" s="336"/>
    </row>
    <row r="2" spans="1:22" s="17" customFormat="1">
      <c r="A2" s="246" t="s">
        <v>136</v>
      </c>
      <c r="B2" s="337" t="str">
        <f>INFORMATION!B14</f>
        <v xml:space="preserve"> </v>
      </c>
      <c r="C2" s="338"/>
      <c r="D2" s="339"/>
      <c r="E2" s="184"/>
      <c r="F2" s="342" t="s">
        <v>444</v>
      </c>
      <c r="G2" s="342"/>
      <c r="H2" s="342"/>
      <c r="I2" s="72"/>
      <c r="J2" s="21">
        <v>0</v>
      </c>
      <c r="K2"/>
      <c r="L2"/>
      <c r="M2"/>
      <c r="N2"/>
      <c r="O2"/>
      <c r="P2" s="8"/>
      <c r="Q2" s="8"/>
      <c r="R2" s="8"/>
      <c r="S2" s="8"/>
      <c r="T2" s="8"/>
      <c r="U2" s="8"/>
      <c r="V2" s="8"/>
    </row>
    <row r="3" spans="1:22" s="17" customFormat="1">
      <c r="A3" s="246" t="s">
        <v>137</v>
      </c>
      <c r="B3" s="337" t="str">
        <f>INFORMATION!B15</f>
        <v xml:space="preserve"> </v>
      </c>
      <c r="C3" s="340"/>
      <c r="D3" s="341"/>
      <c r="E3" s="184"/>
      <c r="K3"/>
      <c r="L3"/>
      <c r="M3"/>
      <c r="N3"/>
      <c r="O3"/>
      <c r="P3" s="8"/>
      <c r="Q3" s="8"/>
      <c r="R3" s="8"/>
      <c r="S3" s="8"/>
      <c r="T3" s="8"/>
      <c r="U3" s="8"/>
      <c r="V3" s="8"/>
    </row>
    <row r="4" spans="1:22" s="17" customFormat="1">
      <c r="A4" s="343" t="s">
        <v>250</v>
      </c>
      <c r="B4" s="343"/>
      <c r="C4" s="343"/>
      <c r="D4" s="18">
        <f>'MONTHLY LIVING'!D3</f>
        <v>0</v>
      </c>
      <c r="F4" s="342" t="s">
        <v>127</v>
      </c>
      <c r="G4" s="342"/>
      <c r="H4" s="342"/>
      <c r="I4" s="185"/>
      <c r="J4" s="21">
        <f>J2*0.75</f>
        <v>0</v>
      </c>
      <c r="K4"/>
      <c r="L4"/>
      <c r="M4"/>
      <c r="N4"/>
      <c r="O4"/>
      <c r="P4" s="8"/>
      <c r="Q4" s="8"/>
      <c r="R4" s="8"/>
      <c r="S4" s="8"/>
      <c r="T4" s="8"/>
      <c r="U4" s="8"/>
      <c r="V4" s="8"/>
    </row>
    <row r="5" spans="1:22" s="17" customFormat="1">
      <c r="A5" s="246"/>
      <c r="B5" s="72"/>
      <c r="C5" s="72"/>
      <c r="D5" s="248"/>
      <c r="E5" s="248"/>
      <c r="K5"/>
      <c r="L5"/>
      <c r="M5"/>
      <c r="N5"/>
      <c r="O5"/>
      <c r="P5" s="8"/>
      <c r="Q5" s="8"/>
      <c r="R5" s="8"/>
      <c r="S5" s="8"/>
      <c r="T5" s="8"/>
      <c r="U5" s="8"/>
      <c r="V5" s="8"/>
    </row>
    <row r="6" spans="1:22">
      <c r="A6" s="344" t="s">
        <v>449</v>
      </c>
      <c r="B6" s="336"/>
      <c r="C6" s="336"/>
      <c r="D6" s="336"/>
      <c r="E6" s="336"/>
      <c r="F6" s="54"/>
      <c r="G6" s="55"/>
      <c r="H6" s="54"/>
      <c r="I6" s="56"/>
      <c r="J6" s="54"/>
      <c r="P6" s="9"/>
      <c r="Q6" s="9"/>
      <c r="R6" s="9"/>
      <c r="S6" s="9"/>
      <c r="T6" s="9"/>
      <c r="U6" s="9"/>
      <c r="V6" s="9"/>
    </row>
    <row r="7" spans="1:22">
      <c r="A7" s="345"/>
      <c r="B7" s="345"/>
      <c r="C7" s="345"/>
      <c r="D7" s="345"/>
      <c r="E7" s="345"/>
      <c r="F7" s="54"/>
      <c r="G7" s="346" t="s">
        <v>452</v>
      </c>
      <c r="H7" s="346"/>
      <c r="I7" s="346"/>
      <c r="J7" s="346"/>
      <c r="P7" s="9"/>
      <c r="Q7" s="9"/>
      <c r="R7" s="9"/>
      <c r="S7" s="9"/>
      <c r="T7" s="9"/>
      <c r="U7" s="9"/>
      <c r="V7" s="9"/>
    </row>
    <row r="8" spans="1:22">
      <c r="A8" s="186"/>
      <c r="B8" s="151"/>
      <c r="C8" s="152" t="s">
        <v>273</v>
      </c>
      <c r="D8" s="151"/>
      <c r="E8" s="153"/>
      <c r="F8" s="54"/>
      <c r="G8" s="248"/>
      <c r="H8" s="248"/>
      <c r="I8" s="248"/>
      <c r="J8" s="248"/>
      <c r="P8" s="9"/>
      <c r="Q8" s="9"/>
      <c r="R8" s="9"/>
      <c r="S8" s="9"/>
      <c r="T8" s="9"/>
      <c r="U8" s="9"/>
      <c r="V8" s="9"/>
    </row>
    <row r="9" spans="1:22" ht="15">
      <c r="A9" s="54"/>
      <c r="B9" s="54"/>
      <c r="C9" s="54"/>
      <c r="D9" s="54"/>
      <c r="E9" s="154" t="s">
        <v>464</v>
      </c>
      <c r="F9" s="68"/>
      <c r="G9" s="69"/>
      <c r="H9" s="68"/>
      <c r="I9" s="187" t="s">
        <v>163</v>
      </c>
      <c r="J9" s="68"/>
    </row>
    <row r="10" spans="1:22" s="17" customFormat="1">
      <c r="A10" s="246" t="s">
        <v>13</v>
      </c>
      <c r="B10" s="72"/>
      <c r="C10" s="72"/>
      <c r="D10" s="72"/>
      <c r="E10" s="22" t="e">
        <f>'PERSONAL FINANCES'!E10</f>
        <v>#DIV/0!</v>
      </c>
      <c r="F10" s="72"/>
      <c r="G10" s="333" t="s">
        <v>135</v>
      </c>
      <c r="H10" s="334"/>
      <c r="I10" s="159"/>
      <c r="J10" s="188" t="e">
        <f>E10*0.17</f>
        <v>#DIV/0!</v>
      </c>
      <c r="K10"/>
      <c r="L10"/>
      <c r="M10"/>
      <c r="N10"/>
      <c r="O10"/>
      <c r="P10" s="8"/>
      <c r="Q10" s="8"/>
      <c r="R10" s="8"/>
      <c r="S10" s="8"/>
      <c r="T10" s="8"/>
      <c r="U10" s="8"/>
      <c r="V10" s="8"/>
    </row>
    <row r="11" spans="1:22" s="17" customFormat="1">
      <c r="A11" s="246" t="s">
        <v>14</v>
      </c>
      <c r="B11" s="72"/>
      <c r="C11" s="72"/>
      <c r="D11" s="72"/>
      <c r="E11" s="22" t="e">
        <f>'PERSONAL FINANCES'!E11</f>
        <v>#DIV/0!</v>
      </c>
      <c r="F11" s="72"/>
      <c r="G11" s="333" t="s">
        <v>135</v>
      </c>
      <c r="H11" s="334"/>
      <c r="I11" s="159"/>
      <c r="J11" s="188" t="e">
        <f t="shared" ref="J11:J23" si="0">E11*0.17</f>
        <v>#DIV/0!</v>
      </c>
      <c r="K11"/>
      <c r="L11"/>
      <c r="M11"/>
      <c r="N11"/>
      <c r="O11"/>
      <c r="P11" s="8"/>
      <c r="Q11" s="8"/>
      <c r="R11" s="8"/>
      <c r="S11" s="8"/>
      <c r="T11" s="8"/>
      <c r="U11" s="8"/>
      <c r="V11" s="8"/>
    </row>
    <row r="12" spans="1:22" s="17" customFormat="1">
      <c r="A12" s="246" t="s">
        <v>15</v>
      </c>
      <c r="B12" s="246"/>
      <c r="C12" s="246"/>
      <c r="D12" s="72"/>
      <c r="E12" s="22">
        <f>'PERSONAL FINANCES'!E12</f>
        <v>0</v>
      </c>
      <c r="F12" s="72"/>
      <c r="G12" s="333" t="s">
        <v>135</v>
      </c>
      <c r="H12" s="334"/>
      <c r="I12" s="159"/>
      <c r="J12" s="188">
        <f t="shared" si="0"/>
        <v>0</v>
      </c>
      <c r="K12"/>
      <c r="L12"/>
      <c r="M12"/>
      <c r="N12"/>
      <c r="O12"/>
      <c r="P12" s="8"/>
      <c r="Q12" s="8"/>
      <c r="R12" s="8"/>
      <c r="S12" s="8"/>
      <c r="T12" s="8"/>
      <c r="U12" s="8"/>
      <c r="V12" s="8"/>
    </row>
    <row r="13" spans="1:22" s="17" customFormat="1">
      <c r="A13" s="246" t="s">
        <v>16</v>
      </c>
      <c r="B13" s="246"/>
      <c r="C13" s="246"/>
      <c r="D13" s="72"/>
      <c r="E13" s="22">
        <f>'PERSONAL FINANCES'!E13</f>
        <v>0</v>
      </c>
      <c r="F13" s="72"/>
      <c r="G13" s="333" t="s">
        <v>135</v>
      </c>
      <c r="H13" s="334"/>
      <c r="I13" s="159"/>
      <c r="J13" s="188">
        <f t="shared" si="0"/>
        <v>0</v>
      </c>
      <c r="K13"/>
      <c r="L13"/>
      <c r="M13"/>
      <c r="N13"/>
      <c r="O13"/>
      <c r="P13" s="8"/>
      <c r="Q13" s="8"/>
      <c r="R13" s="8"/>
      <c r="S13" s="8"/>
      <c r="T13" s="8"/>
      <c r="U13" s="8"/>
      <c r="V13" s="8"/>
    </row>
    <row r="14" spans="1:22" s="17" customFormat="1">
      <c r="A14" s="246" t="s">
        <v>102</v>
      </c>
      <c r="B14" s="246"/>
      <c r="C14" s="246"/>
      <c r="D14" s="72"/>
      <c r="E14" s="22">
        <f>'PERSONAL FINANCES'!E14</f>
        <v>0</v>
      </c>
      <c r="F14" s="72"/>
      <c r="G14" s="333" t="s">
        <v>135</v>
      </c>
      <c r="H14" s="334"/>
      <c r="I14" s="159"/>
      <c r="J14" s="188">
        <f t="shared" si="0"/>
        <v>0</v>
      </c>
      <c r="K14"/>
      <c r="L14"/>
      <c r="M14"/>
      <c r="N14"/>
      <c r="O14"/>
      <c r="P14" s="8"/>
      <c r="Q14" s="8"/>
      <c r="R14" s="8"/>
      <c r="S14" s="8"/>
      <c r="T14" s="8"/>
      <c r="U14" s="8"/>
      <c r="V14" s="8"/>
    </row>
    <row r="15" spans="1:22" s="17" customFormat="1">
      <c r="A15" s="246" t="s">
        <v>103</v>
      </c>
      <c r="B15" s="246"/>
      <c r="C15" s="246"/>
      <c r="D15" s="72"/>
      <c r="E15" s="22">
        <f>'PERSONAL FINANCES'!E15</f>
        <v>40</v>
      </c>
      <c r="F15" s="72"/>
      <c r="G15" s="333" t="s">
        <v>135</v>
      </c>
      <c r="H15" s="334"/>
      <c r="I15" s="159"/>
      <c r="J15" s="188">
        <f t="shared" si="0"/>
        <v>6.8000000000000007</v>
      </c>
      <c r="K15"/>
      <c r="L15"/>
      <c r="M15"/>
      <c r="N15"/>
      <c r="O15"/>
      <c r="P15" s="8"/>
      <c r="Q15" s="8"/>
      <c r="R15" s="8"/>
      <c r="S15" s="8"/>
      <c r="T15" s="8"/>
      <c r="U15" s="8"/>
      <c r="V15" s="8"/>
    </row>
    <row r="16" spans="1:22" s="17" customFormat="1">
      <c r="A16" s="246" t="s">
        <v>104</v>
      </c>
      <c r="B16" s="246"/>
      <c r="C16" s="246"/>
      <c r="D16" s="72"/>
      <c r="E16" s="22" t="e">
        <f>'PERSONAL FINANCES'!E16</f>
        <v>#DIV/0!</v>
      </c>
      <c r="F16" s="72"/>
      <c r="G16" s="333" t="s">
        <v>135</v>
      </c>
      <c r="H16" s="334"/>
      <c r="I16" s="159"/>
      <c r="J16" s="188" t="e">
        <f t="shared" si="0"/>
        <v>#DIV/0!</v>
      </c>
      <c r="K16"/>
      <c r="L16"/>
      <c r="M16"/>
      <c r="N16"/>
      <c r="O16"/>
      <c r="P16" s="8"/>
      <c r="Q16" s="8"/>
      <c r="R16" s="8"/>
      <c r="S16" s="8"/>
      <c r="T16" s="8"/>
      <c r="U16" s="8"/>
      <c r="V16" s="8"/>
    </row>
    <row r="17" spans="1:22" s="17" customFormat="1">
      <c r="A17" s="246" t="s">
        <v>105</v>
      </c>
      <c r="B17" s="246"/>
      <c r="C17" s="246"/>
      <c r="D17" s="72"/>
      <c r="E17" s="22" t="e">
        <f>J38</f>
        <v>#VALUE!</v>
      </c>
      <c r="F17" s="72"/>
      <c r="G17" s="333" t="s">
        <v>135</v>
      </c>
      <c r="H17" s="334"/>
      <c r="I17" s="159"/>
      <c r="J17" s="188" t="e">
        <f t="shared" si="0"/>
        <v>#VALUE!</v>
      </c>
      <c r="K17"/>
      <c r="L17"/>
      <c r="M17"/>
      <c r="N17"/>
      <c r="O17"/>
      <c r="P17" s="8"/>
      <c r="Q17" s="8"/>
      <c r="R17" s="8"/>
      <c r="S17" s="8"/>
      <c r="T17" s="8"/>
      <c r="U17" s="8"/>
      <c r="V17" s="8"/>
    </row>
    <row r="18" spans="1:22" s="17" customFormat="1">
      <c r="A18" s="246" t="s">
        <v>106</v>
      </c>
      <c r="B18" s="246"/>
      <c r="C18" s="246"/>
      <c r="D18" s="72"/>
      <c r="E18" s="22" t="str">
        <f>C41</f>
        <v xml:space="preserve"> </v>
      </c>
      <c r="F18" s="72"/>
      <c r="G18" s="333" t="s">
        <v>135</v>
      </c>
      <c r="H18" s="334"/>
      <c r="I18" s="159"/>
      <c r="J18" s="188" t="e">
        <f t="shared" si="0"/>
        <v>#VALUE!</v>
      </c>
      <c r="K18"/>
      <c r="L18"/>
      <c r="M18"/>
      <c r="N18"/>
      <c r="O18"/>
      <c r="P18" s="8"/>
      <c r="Q18" s="8"/>
      <c r="R18" s="8"/>
      <c r="S18" s="8"/>
      <c r="T18" s="8"/>
      <c r="U18" s="8"/>
      <c r="V18" s="8"/>
    </row>
    <row r="19" spans="1:22" s="17" customFormat="1">
      <c r="A19" s="246" t="s">
        <v>107</v>
      </c>
      <c r="B19" s="246"/>
      <c r="C19" s="72"/>
      <c r="D19" s="72"/>
      <c r="E19" s="22">
        <f>'PERSONAL FINANCES'!E19</f>
        <v>0</v>
      </c>
      <c r="F19" s="72"/>
      <c r="G19" s="333" t="s">
        <v>135</v>
      </c>
      <c r="H19" s="334"/>
      <c r="I19" s="159"/>
      <c r="J19" s="188">
        <f t="shared" si="0"/>
        <v>0</v>
      </c>
      <c r="K19"/>
      <c r="L19"/>
      <c r="M19"/>
      <c r="N19"/>
      <c r="O19"/>
      <c r="P19" s="8"/>
      <c r="Q19" s="8"/>
      <c r="R19" s="8"/>
      <c r="S19" s="8"/>
      <c r="T19" s="8"/>
      <c r="U19" s="8"/>
      <c r="V19" s="8"/>
    </row>
    <row r="20" spans="1:22" s="17" customFormat="1">
      <c r="A20" s="246" t="s">
        <v>108</v>
      </c>
      <c r="B20" s="246"/>
      <c r="C20" s="72"/>
      <c r="D20" s="72"/>
      <c r="E20" s="22" t="e">
        <f>J37</f>
        <v>#DIV/0!</v>
      </c>
      <c r="F20" s="72"/>
      <c r="G20" s="333" t="s">
        <v>135</v>
      </c>
      <c r="H20" s="334"/>
      <c r="I20" s="159"/>
      <c r="J20" s="188" t="e">
        <f t="shared" si="0"/>
        <v>#DIV/0!</v>
      </c>
      <c r="K20"/>
      <c r="L20"/>
      <c r="M20"/>
      <c r="N20"/>
      <c r="O20"/>
      <c r="P20" s="8"/>
      <c r="Q20" s="8"/>
      <c r="R20" s="8"/>
      <c r="S20" s="8"/>
      <c r="T20" s="8"/>
      <c r="U20" s="8"/>
      <c r="V20" s="8"/>
    </row>
    <row r="21" spans="1:22" s="17" customFormat="1">
      <c r="A21" s="246" t="s">
        <v>94</v>
      </c>
      <c r="B21" s="246"/>
      <c r="C21" s="72"/>
      <c r="D21" s="72"/>
      <c r="E21" s="22">
        <f>'PERSONAL FINANCES'!E21</f>
        <v>0</v>
      </c>
      <c r="F21" s="72"/>
      <c r="G21" s="333" t="s">
        <v>135</v>
      </c>
      <c r="H21" s="334"/>
      <c r="I21" s="159"/>
      <c r="J21" s="188">
        <f t="shared" si="0"/>
        <v>0</v>
      </c>
      <c r="K21"/>
      <c r="L21"/>
      <c r="M21"/>
      <c r="N21"/>
      <c r="O21"/>
      <c r="P21" s="8"/>
      <c r="Q21" s="8"/>
      <c r="R21" s="8"/>
      <c r="S21" s="8"/>
      <c r="T21" s="8"/>
      <c r="U21" s="8"/>
      <c r="V21" s="8"/>
    </row>
    <row r="22" spans="1:22" s="17" customFormat="1">
      <c r="A22" s="246"/>
      <c r="B22" s="246"/>
      <c r="C22" s="72"/>
      <c r="D22" s="72"/>
      <c r="E22" s="77"/>
      <c r="F22" s="72"/>
      <c r="G22" s="248"/>
      <c r="H22" s="248"/>
      <c r="I22" s="248"/>
      <c r="J22" s="248"/>
      <c r="K22"/>
      <c r="L22"/>
      <c r="M22"/>
      <c r="N22"/>
      <c r="O22"/>
      <c r="P22" s="8"/>
      <c r="Q22" s="8"/>
      <c r="R22" s="8"/>
      <c r="S22" s="8"/>
      <c r="T22" s="8"/>
      <c r="U22" s="8"/>
      <c r="V22" s="8"/>
    </row>
    <row r="23" spans="1:22" s="17" customFormat="1">
      <c r="A23" s="357" t="s">
        <v>304</v>
      </c>
      <c r="B23" s="358"/>
      <c r="C23" s="358"/>
      <c r="D23" s="359"/>
      <c r="E23" s="22" t="e">
        <f>E10+E11+E12+E13+E14+E15+E16+E17+E18+E19+E20+E21</f>
        <v>#DIV/0!</v>
      </c>
      <c r="F23" s="72"/>
      <c r="G23" s="245" t="s">
        <v>248</v>
      </c>
      <c r="H23" s="159"/>
      <c r="I23" s="159"/>
      <c r="J23" s="188" t="e">
        <f t="shared" si="0"/>
        <v>#DIV/0!</v>
      </c>
      <c r="K23"/>
      <c r="L23"/>
      <c r="M23"/>
      <c r="N23"/>
      <c r="O23"/>
      <c r="P23" s="8"/>
      <c r="Q23" s="8"/>
      <c r="R23" s="8"/>
      <c r="S23" s="8"/>
      <c r="T23" s="8"/>
      <c r="U23" s="8"/>
      <c r="V23" s="8"/>
    </row>
    <row r="24" spans="1:22" s="17" customFormat="1">
      <c r="A24" s="72"/>
      <c r="B24" s="72"/>
      <c r="C24" s="72"/>
      <c r="D24" s="72"/>
      <c r="E24" s="23"/>
      <c r="F24" s="72"/>
      <c r="G24" s="246"/>
      <c r="H24" s="72"/>
      <c r="I24" s="78" t="s">
        <v>163</v>
      </c>
      <c r="J24" s="72"/>
      <c r="K24"/>
      <c r="L24"/>
      <c r="M24"/>
      <c r="N24"/>
      <c r="O24"/>
      <c r="P24" s="8"/>
      <c r="Q24" s="8"/>
      <c r="R24" s="8"/>
      <c r="S24" s="8"/>
      <c r="T24" s="8"/>
      <c r="U24" s="8"/>
      <c r="V24" s="8"/>
    </row>
    <row r="25" spans="1:22" s="17" customFormat="1">
      <c r="A25" s="347" t="s">
        <v>361</v>
      </c>
      <c r="B25" s="338"/>
      <c r="C25" s="338"/>
      <c r="D25" s="338"/>
      <c r="E25" s="339"/>
      <c r="F25" s="72"/>
      <c r="G25" s="360" t="s">
        <v>465</v>
      </c>
      <c r="H25" s="360"/>
      <c r="I25" s="360"/>
      <c r="J25" s="360"/>
      <c r="K25"/>
      <c r="L25"/>
      <c r="M25"/>
      <c r="N25"/>
      <c r="O25"/>
      <c r="P25" s="8"/>
      <c r="Q25" s="8"/>
      <c r="R25" s="8"/>
      <c r="S25" s="8"/>
      <c r="T25" s="8"/>
      <c r="U25" s="8"/>
      <c r="V25" s="8"/>
    </row>
    <row r="26" spans="1:22" s="17" customFormat="1">
      <c r="A26" s="72"/>
      <c r="B26" s="72"/>
      <c r="C26" s="72"/>
      <c r="D26" s="72"/>
      <c r="E26" s="23"/>
      <c r="F26" s="72"/>
      <c r="G26" s="360"/>
      <c r="H26" s="360"/>
      <c r="I26" s="360"/>
      <c r="J26" s="360"/>
      <c r="K26"/>
      <c r="L26"/>
      <c r="M26"/>
      <c r="N26"/>
      <c r="O26"/>
      <c r="P26" s="8"/>
      <c r="Q26" s="8"/>
      <c r="R26" s="8"/>
      <c r="S26" s="8"/>
      <c r="T26" s="8"/>
      <c r="U26" s="8"/>
      <c r="V26" s="8"/>
    </row>
    <row r="27" spans="1:22" s="17" customFormat="1">
      <c r="A27" s="348" t="s">
        <v>463</v>
      </c>
      <c r="B27" s="349"/>
      <c r="C27" s="349"/>
      <c r="D27" s="350"/>
      <c r="E27" s="25">
        <f>J4*0.3</f>
        <v>0</v>
      </c>
      <c r="F27" s="72"/>
      <c r="G27" s="360"/>
      <c r="H27" s="360"/>
      <c r="I27" s="360"/>
      <c r="J27" s="360"/>
      <c r="K27"/>
      <c r="L27"/>
      <c r="M27"/>
      <c r="N27"/>
      <c r="O27"/>
      <c r="P27" s="8"/>
      <c r="Q27" s="8"/>
      <c r="R27" s="8"/>
      <c r="S27" s="8"/>
      <c r="T27" s="8"/>
      <c r="U27" s="8"/>
      <c r="V27" s="8"/>
    </row>
    <row r="28" spans="1:22" s="17" customFormat="1">
      <c r="A28" s="72"/>
      <c r="B28" s="72"/>
      <c r="C28" s="72"/>
      <c r="D28" s="72"/>
      <c r="E28" s="23"/>
      <c r="F28" s="72"/>
      <c r="G28" s="360"/>
      <c r="H28" s="360"/>
      <c r="I28" s="360"/>
      <c r="J28" s="360"/>
      <c r="K28"/>
      <c r="L28"/>
      <c r="M28"/>
      <c r="N28"/>
      <c r="O28"/>
      <c r="P28" s="8"/>
      <c r="Q28" s="8"/>
      <c r="R28" s="8"/>
      <c r="S28" s="8"/>
      <c r="T28" s="8"/>
      <c r="U28" s="8"/>
      <c r="V28" s="8"/>
    </row>
    <row r="29" spans="1:22">
      <c r="A29" s="361" t="s">
        <v>364</v>
      </c>
      <c r="B29" s="362"/>
      <c r="C29" s="362"/>
      <c r="D29" s="363"/>
      <c r="E29" s="183" t="e">
        <f>E23+E27</f>
        <v>#DIV/0!</v>
      </c>
      <c r="F29" s="248"/>
      <c r="G29" s="360"/>
      <c r="H29" s="360"/>
      <c r="I29" s="360"/>
      <c r="J29" s="360"/>
    </row>
    <row r="30" spans="1:22">
      <c r="A30" s="58"/>
      <c r="B30" s="58"/>
      <c r="C30" s="58"/>
      <c r="D30" s="58"/>
      <c r="E30" s="58"/>
      <c r="F30" s="248"/>
      <c r="G30" s="360"/>
      <c r="H30" s="360"/>
      <c r="I30" s="360"/>
      <c r="J30" s="360"/>
    </row>
    <row r="31" spans="1:22">
      <c r="A31" s="364" t="s">
        <v>362</v>
      </c>
      <c r="B31" s="365"/>
      <c r="C31" s="365"/>
      <c r="D31" s="350"/>
      <c r="E31" s="192" t="e">
        <f>J4-E23-E27</f>
        <v>#DIV/0!</v>
      </c>
      <c r="F31" s="248"/>
      <c r="G31" s="360"/>
      <c r="H31" s="360"/>
      <c r="I31" s="360"/>
      <c r="J31" s="360"/>
    </row>
    <row r="32" spans="1:22">
      <c r="A32" s="248"/>
      <c r="B32" s="248"/>
      <c r="C32" s="248"/>
      <c r="D32" s="248"/>
      <c r="E32" s="248"/>
      <c r="F32" s="248"/>
      <c r="G32" s="248"/>
      <c r="H32" s="248"/>
      <c r="I32" s="248"/>
      <c r="J32" s="248"/>
    </row>
    <row r="33" spans="1:10" customFormat="1" ht="16">
      <c r="A33" s="366" t="s">
        <v>466</v>
      </c>
      <c r="B33" s="366"/>
      <c r="C33" s="366"/>
      <c r="D33" s="366"/>
      <c r="E33" s="366"/>
      <c r="F33" s="366"/>
      <c r="G33" s="366"/>
      <c r="H33" s="366"/>
      <c r="I33" s="366"/>
      <c r="J33" s="366"/>
    </row>
    <row r="34" spans="1:10" customFormat="1"/>
    <row r="35" spans="1:10" customFormat="1">
      <c r="A35" s="355" t="s">
        <v>429</v>
      </c>
      <c r="B35" s="356"/>
      <c r="C35" s="353" t="s">
        <v>163</v>
      </c>
      <c r="D35" s="354"/>
      <c r="E35" s="367" t="s">
        <v>132</v>
      </c>
      <c r="F35" s="368"/>
      <c r="G35" s="368"/>
      <c r="H35" s="368"/>
      <c r="I35" s="369"/>
      <c r="J35" s="15">
        <v>0</v>
      </c>
    </row>
    <row r="36" spans="1:10" customFormat="1">
      <c r="A36" s="355" t="s">
        <v>301</v>
      </c>
      <c r="B36" s="356"/>
      <c r="C36" s="353" t="s">
        <v>163</v>
      </c>
      <c r="D36" s="354"/>
      <c r="E36" s="367" t="s">
        <v>443</v>
      </c>
      <c r="F36" s="368"/>
      <c r="G36" s="368"/>
      <c r="H36" s="368"/>
      <c r="I36" s="369"/>
      <c r="J36" s="15">
        <v>0</v>
      </c>
    </row>
    <row r="37" spans="1:10" customFormat="1">
      <c r="A37" s="356" t="s">
        <v>430</v>
      </c>
      <c r="B37" s="356"/>
      <c r="C37" s="353" t="s">
        <v>163</v>
      </c>
      <c r="D37" s="354"/>
      <c r="E37" s="367" t="s">
        <v>369</v>
      </c>
      <c r="F37" s="368"/>
      <c r="G37" s="368"/>
      <c r="H37" s="368"/>
      <c r="I37" s="369"/>
      <c r="J37" s="13" t="e">
        <f>(((B31*40)/J35)*J36)+75</f>
        <v>#DIV/0!</v>
      </c>
    </row>
    <row r="38" spans="1:10" customFormat="1">
      <c r="A38" s="351" t="s">
        <v>402</v>
      </c>
      <c r="B38" s="352"/>
      <c r="C38" s="353" t="s">
        <v>163</v>
      </c>
      <c r="D38" s="354"/>
      <c r="E38" s="370" t="s">
        <v>370</v>
      </c>
      <c r="F38" s="371"/>
      <c r="G38" s="371"/>
      <c r="H38" s="371"/>
      <c r="I38" s="372"/>
      <c r="J38" s="13" t="e">
        <f>50+(C38*0.05)/12</f>
        <v>#VALUE!</v>
      </c>
    </row>
    <row r="39" spans="1:10" customFormat="1">
      <c r="A39" s="351" t="s">
        <v>141</v>
      </c>
      <c r="B39" s="352"/>
      <c r="C39" s="353" t="s">
        <v>163</v>
      </c>
      <c r="D39" s="354"/>
    </row>
    <row r="40" spans="1:10" customFormat="1">
      <c r="A40" s="351" t="s">
        <v>368</v>
      </c>
      <c r="B40" s="352"/>
      <c r="C40" s="353" t="s">
        <v>163</v>
      </c>
      <c r="D40" s="354"/>
    </row>
    <row r="41" spans="1:10" customFormat="1">
      <c r="A41" s="351" t="s">
        <v>367</v>
      </c>
      <c r="B41" s="352"/>
      <c r="C41" s="353" t="s">
        <v>163</v>
      </c>
      <c r="D41" s="354"/>
      <c r="F41" s="174"/>
    </row>
    <row r="42" spans="1:10" customFormat="1">
      <c r="B42" s="133"/>
      <c r="C42" s="133"/>
      <c r="D42" s="243"/>
      <c r="E42" s="243"/>
    </row>
    <row r="43" spans="1:10" customFormat="1"/>
    <row r="44" spans="1:10" customFormat="1"/>
    <row r="45" spans="1:10" customFormat="1"/>
    <row r="46" spans="1:10" customFormat="1"/>
    <row r="47" spans="1:10" customFormat="1"/>
    <row r="48" spans="1:10"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sheetData>
  <sheetProtection password="C640" sheet="1" objects="1" scenarios="1"/>
  <mergeCells count="45">
    <mergeCell ref="A33:J33"/>
    <mergeCell ref="E35:I35"/>
    <mergeCell ref="E36:I36"/>
    <mergeCell ref="E37:I37"/>
    <mergeCell ref="E38:I38"/>
    <mergeCell ref="C35:D35"/>
    <mergeCell ref="A40:B40"/>
    <mergeCell ref="C40:D40"/>
    <mergeCell ref="A35:B35"/>
    <mergeCell ref="A36:B36"/>
    <mergeCell ref="A41:B41"/>
    <mergeCell ref="C41:D41"/>
    <mergeCell ref="A37:B37"/>
    <mergeCell ref="C37:D37"/>
    <mergeCell ref="A38:B38"/>
    <mergeCell ref="C36:D36"/>
    <mergeCell ref="C38:D38"/>
    <mergeCell ref="A39:B39"/>
    <mergeCell ref="C39:D39"/>
    <mergeCell ref="G20:H20"/>
    <mergeCell ref="G21:H21"/>
    <mergeCell ref="A25:E25"/>
    <mergeCell ref="A27:D27"/>
    <mergeCell ref="G14:H14"/>
    <mergeCell ref="G15:H15"/>
    <mergeCell ref="G16:H16"/>
    <mergeCell ref="G17:H17"/>
    <mergeCell ref="G18:H18"/>
    <mergeCell ref="G19:H19"/>
    <mergeCell ref="A23:D23"/>
    <mergeCell ref="G25:J31"/>
    <mergeCell ref="A29:D29"/>
    <mergeCell ref="A31:D31"/>
    <mergeCell ref="G13:H13"/>
    <mergeCell ref="F1:J1"/>
    <mergeCell ref="B2:D2"/>
    <mergeCell ref="B3:D3"/>
    <mergeCell ref="F2:H2"/>
    <mergeCell ref="A4:C4"/>
    <mergeCell ref="F4:H4"/>
    <mergeCell ref="A6:E7"/>
    <mergeCell ref="G7:J7"/>
    <mergeCell ref="G10:H10"/>
    <mergeCell ref="G11:H11"/>
    <mergeCell ref="G12:H12"/>
  </mergeCells>
  <printOptions gridLines="1"/>
  <pageMargins left="0.75" right="0.25" top="0.5" bottom="0.5"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opLeftCell="A2" workbookViewId="0">
      <selection activeCell="C23" sqref="C23"/>
    </sheetView>
  </sheetViews>
  <sheetFormatPr baseColWidth="10" defaultRowHeight="15" x14ac:dyDescent="0"/>
  <cols>
    <col min="1" max="4" width="21.6640625" style="249" customWidth="1"/>
    <col min="5" max="16384" width="10.83203125" style="249"/>
  </cols>
  <sheetData>
    <row r="1" spans="1:5" ht="16">
      <c r="A1" s="379" t="s">
        <v>404</v>
      </c>
      <c r="B1" s="379"/>
      <c r="C1" s="379"/>
      <c r="D1" s="379"/>
    </row>
    <row r="2" spans="1:5" s="250" customFormat="1" ht="29" customHeight="1">
      <c r="A2" s="380" t="s">
        <v>431</v>
      </c>
      <c r="B2" s="380"/>
      <c r="C2" s="380"/>
      <c r="D2" s="380"/>
    </row>
    <row r="3" spans="1:5">
      <c r="A3" s="251" t="s">
        <v>405</v>
      </c>
      <c r="B3" s="252" t="s">
        <v>163</v>
      </c>
      <c r="C3" s="251" t="s">
        <v>406</v>
      </c>
      <c r="D3" s="252" t="s">
        <v>163</v>
      </c>
    </row>
    <row r="4" spans="1:5" ht="48" customHeight="1">
      <c r="A4" s="381" t="s">
        <v>407</v>
      </c>
      <c r="B4" s="382"/>
      <c r="C4" s="382"/>
      <c r="D4" s="382"/>
    </row>
    <row r="5" spans="1:5">
      <c r="A5" s="253" t="s">
        <v>408</v>
      </c>
      <c r="B5" s="254" t="s">
        <v>409</v>
      </c>
      <c r="C5" s="254" t="s">
        <v>410</v>
      </c>
      <c r="D5" s="255" t="s">
        <v>411</v>
      </c>
    </row>
    <row r="6" spans="1:5">
      <c r="A6" s="256" t="s">
        <v>412</v>
      </c>
      <c r="B6" s="257">
        <v>31000</v>
      </c>
      <c r="C6" s="257">
        <v>22000</v>
      </c>
      <c r="D6" s="258">
        <v>9750</v>
      </c>
    </row>
    <row r="7" spans="1:5">
      <c r="A7" s="259" t="s">
        <v>413</v>
      </c>
      <c r="B7" s="260">
        <v>40000</v>
      </c>
      <c r="C7" s="260">
        <v>28000</v>
      </c>
      <c r="D7" s="261">
        <v>12000</v>
      </c>
    </row>
    <row r="8" spans="1:5">
      <c r="A8" s="262" t="s">
        <v>414</v>
      </c>
      <c r="B8" s="263">
        <v>48000</v>
      </c>
      <c r="C8" s="263">
        <v>34000</v>
      </c>
      <c r="D8" s="264">
        <v>14500</v>
      </c>
    </row>
    <row r="9" spans="1:5">
      <c r="A9" s="265" t="s">
        <v>415</v>
      </c>
      <c r="B9" s="266">
        <v>855</v>
      </c>
      <c r="C9" s="266">
        <v>585</v>
      </c>
      <c r="D9" s="267">
        <v>210</v>
      </c>
    </row>
    <row r="10" spans="1:5" ht="76" customHeight="1">
      <c r="A10" s="381" t="s">
        <v>428</v>
      </c>
      <c r="B10" s="382"/>
      <c r="C10" s="382"/>
      <c r="D10" s="382"/>
    </row>
    <row r="11" spans="1:5">
      <c r="A11" s="251" t="s">
        <v>416</v>
      </c>
      <c r="B11" s="285" t="s">
        <v>163</v>
      </c>
      <c r="C11" s="251" t="s">
        <v>417</v>
      </c>
      <c r="D11" s="268" t="e">
        <f>B14*0.02</f>
        <v>#VALUE!</v>
      </c>
    </row>
    <row r="12" spans="1:5">
      <c r="A12" s="251" t="s">
        <v>418</v>
      </c>
      <c r="B12" s="285" t="s">
        <v>163</v>
      </c>
      <c r="C12" s="269" t="s">
        <v>419</v>
      </c>
      <c r="D12" s="270" t="e">
        <f>46+(B14*0.01)</f>
        <v>#VALUE!</v>
      </c>
    </row>
    <row r="13" spans="1:5">
      <c r="A13" s="251" t="s">
        <v>420</v>
      </c>
      <c r="B13" s="283" t="s">
        <v>163</v>
      </c>
      <c r="C13" s="269" t="s">
        <v>421</v>
      </c>
      <c r="D13" s="270" t="e">
        <f>B14*0.0875</f>
        <v>#VALUE!</v>
      </c>
    </row>
    <row r="14" spans="1:5">
      <c r="A14" s="251" t="s">
        <v>422</v>
      </c>
      <c r="B14" s="285" t="s">
        <v>163</v>
      </c>
      <c r="C14" s="269" t="s">
        <v>423</v>
      </c>
      <c r="D14" s="270" t="e">
        <f>SUM(D11:D13)+B14</f>
        <v>#VALUE!</v>
      </c>
    </row>
    <row r="15" spans="1:5" ht="98" customHeight="1">
      <c r="A15" s="383" t="s">
        <v>437</v>
      </c>
      <c r="B15" s="384"/>
      <c r="C15" s="384"/>
      <c r="D15" s="384"/>
    </row>
    <row r="16" spans="1:5" ht="26" customHeight="1">
      <c r="A16" s="385" t="s">
        <v>424</v>
      </c>
      <c r="B16" s="385"/>
      <c r="C16" s="385"/>
      <c r="D16" s="385"/>
      <c r="E16" s="271"/>
    </row>
    <row r="17" spans="1:7">
      <c r="A17" s="269" t="s">
        <v>423</v>
      </c>
      <c r="B17" s="272" t="e">
        <f>D14</f>
        <v>#VALUE!</v>
      </c>
      <c r="C17" s="269" t="s">
        <v>425</v>
      </c>
      <c r="D17" s="286" t="s">
        <v>163</v>
      </c>
    </row>
    <row r="18" spans="1:7">
      <c r="A18" s="251" t="s">
        <v>426</v>
      </c>
      <c r="B18" s="273" t="s">
        <v>163</v>
      </c>
      <c r="C18" s="269" t="s">
        <v>427</v>
      </c>
      <c r="D18" s="287">
        <v>0</v>
      </c>
      <c r="E18" s="274"/>
    </row>
    <row r="19" spans="1:7" s="250" customFormat="1" ht="47" customHeight="1">
      <c r="A19" s="373" t="s">
        <v>432</v>
      </c>
      <c r="B19" s="374"/>
      <c r="C19" s="374"/>
      <c r="D19" s="375"/>
      <c r="E19" s="275"/>
    </row>
    <row r="20" spans="1:7" ht="52" customHeight="1">
      <c r="A20" s="376" t="s">
        <v>436</v>
      </c>
      <c r="B20" s="377"/>
      <c r="C20" s="378"/>
      <c r="D20" s="276" t="s">
        <v>24</v>
      </c>
      <c r="F20" s="243"/>
      <c r="G20"/>
    </row>
    <row r="21" spans="1:7">
      <c r="A21" s="269" t="s">
        <v>163</v>
      </c>
      <c r="B21" s="277" t="s">
        <v>323</v>
      </c>
      <c r="C21" s="277" t="s">
        <v>434</v>
      </c>
      <c r="D21" s="277" t="s">
        <v>435</v>
      </c>
    </row>
    <row r="22" spans="1:7">
      <c r="A22" s="269" t="s">
        <v>433</v>
      </c>
      <c r="B22" s="283">
        <v>0</v>
      </c>
      <c r="C22" s="283">
        <v>0</v>
      </c>
      <c r="D22" s="283">
        <v>0</v>
      </c>
    </row>
    <row r="23" spans="1:7" ht="6" customHeight="1"/>
    <row r="24" spans="1:7">
      <c r="A24" s="251" t="s">
        <v>438</v>
      </c>
      <c r="B24" s="280" t="s">
        <v>226</v>
      </c>
      <c r="C24" s="279" t="s">
        <v>440</v>
      </c>
      <c r="D24" s="278" t="s">
        <v>439</v>
      </c>
    </row>
    <row r="25" spans="1:7" ht="75">
      <c r="A25" s="281" t="s">
        <v>441</v>
      </c>
      <c r="B25" s="282" t="e">
        <f>((15*45)/C22)*3.75</f>
        <v>#DIV/0!</v>
      </c>
      <c r="C25" s="282" t="e">
        <f>B25*0.66</f>
        <v>#DIV/0!</v>
      </c>
      <c r="D25" s="282" t="e">
        <f>B25*0.33</f>
        <v>#DIV/0!</v>
      </c>
    </row>
    <row r="26" spans="1:7">
      <c r="A26" s="373" t="s">
        <v>442</v>
      </c>
      <c r="B26" s="374"/>
      <c r="C26" s="374"/>
      <c r="D26" s="375"/>
    </row>
  </sheetData>
  <sheetProtection password="C640" sheet="1" objects="1" scenarios="1"/>
  <mergeCells count="9">
    <mergeCell ref="A19:D19"/>
    <mergeCell ref="A26:D26"/>
    <mergeCell ref="A20:C20"/>
    <mergeCell ref="A1:D1"/>
    <mergeCell ref="A2:D2"/>
    <mergeCell ref="A4:D4"/>
    <mergeCell ref="A10:D10"/>
    <mergeCell ref="A15:D15"/>
    <mergeCell ref="A16:D16"/>
  </mergeCells>
  <phoneticPr fontId="16" type="noConversion"/>
  <hyperlinks>
    <hyperlink ref="A16" r:id="rId1"/>
    <hyperlink ref="B16" r:id="rId2" display="http://www.bankrate.com/calculators/auto/auto-loan-calculator.aspx"/>
    <hyperlink ref="C16" r:id="rId3" display="http://www.bankrate.com/calculators/auto/auto-loan-calculator.aspx"/>
    <hyperlink ref="D16" r:id="rId4" display="http://www.bankrate.com/calculators/auto/auto-loan-calculator.aspx"/>
    <hyperlink ref="D20" r:id="rId5"/>
  </hyperlinks>
  <pageMargins left="0.5" right="0.5" top="0.5" bottom="0.5" header="0.5" footer="0.5"/>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view="pageLayout" topLeftCell="A2" workbookViewId="0">
      <selection activeCell="C31" sqref="C31"/>
    </sheetView>
  </sheetViews>
  <sheetFormatPr baseColWidth="10" defaultRowHeight="13" x14ac:dyDescent="0"/>
  <cols>
    <col min="1" max="1" width="18.33203125" customWidth="1"/>
    <col min="2" max="2" width="19" customWidth="1"/>
    <col min="3" max="3" width="10.33203125" customWidth="1"/>
    <col min="4" max="4" width="1.6640625" customWidth="1"/>
    <col min="5" max="5" width="20.33203125" customWidth="1"/>
    <col min="6" max="6" width="9.1640625" customWidth="1"/>
    <col min="9" max="9" width="21.83203125" customWidth="1"/>
  </cols>
  <sheetData>
    <row r="1" spans="1:14" ht="16">
      <c r="A1" s="409" t="s">
        <v>72</v>
      </c>
      <c r="B1" s="410"/>
      <c r="C1" s="410"/>
      <c r="D1" s="410"/>
      <c r="E1" s="410"/>
      <c r="F1" s="410"/>
      <c r="G1" s="410"/>
    </row>
    <row r="2" spans="1:14" ht="7" customHeight="1">
      <c r="A2" s="11"/>
      <c r="B2" s="11"/>
      <c r="C2" s="11"/>
    </row>
    <row r="3" spans="1:14">
      <c r="A3" t="s">
        <v>180</v>
      </c>
      <c r="B3" s="419" t="s">
        <v>163</v>
      </c>
      <c r="C3" s="420"/>
      <c r="E3" t="s">
        <v>137</v>
      </c>
      <c r="F3" s="419" t="s">
        <v>163</v>
      </c>
      <c r="G3" s="420"/>
    </row>
    <row r="4" spans="1:14" ht="6" customHeight="1">
      <c r="B4" t="s">
        <v>337</v>
      </c>
    </row>
    <row r="5" spans="1:14">
      <c r="A5" t="s">
        <v>450</v>
      </c>
      <c r="B5" s="234" t="s">
        <v>163</v>
      </c>
      <c r="E5" t="s">
        <v>451</v>
      </c>
      <c r="F5" s="234" t="s">
        <v>163</v>
      </c>
    </row>
    <row r="6" spans="1:14" ht="6" customHeight="1"/>
    <row r="7" spans="1:14">
      <c r="A7" t="s">
        <v>446</v>
      </c>
      <c r="B7" s="234" t="s">
        <v>163</v>
      </c>
      <c r="E7" t="s">
        <v>447</v>
      </c>
      <c r="F7" s="234">
        <v>0</v>
      </c>
    </row>
    <row r="8" spans="1:14" ht="7" customHeight="1"/>
    <row r="9" spans="1:14">
      <c r="A9" s="244" t="s">
        <v>444</v>
      </c>
      <c r="B9" s="149" t="e">
        <f>B7*2</f>
        <v>#VALUE!</v>
      </c>
      <c r="C9" s="136"/>
      <c r="E9" t="s">
        <v>445</v>
      </c>
      <c r="F9" s="149">
        <f>F7*2</f>
        <v>0</v>
      </c>
    </row>
    <row r="10" spans="1:14" ht="6" customHeight="1">
      <c r="A10" s="162" t="s">
        <v>163</v>
      </c>
      <c r="E10" s="162" t="s">
        <v>163</v>
      </c>
    </row>
    <row r="11" spans="1:14" ht="17" thickBot="1">
      <c r="A11" s="409" t="s">
        <v>294</v>
      </c>
      <c r="B11" s="410"/>
      <c r="C11" s="410"/>
      <c r="D11" s="410"/>
      <c r="E11" s="410"/>
      <c r="F11" s="410"/>
      <c r="G11" s="410"/>
    </row>
    <row r="12" spans="1:14">
      <c r="A12" s="228" t="s">
        <v>387</v>
      </c>
      <c r="B12" s="229"/>
      <c r="C12" s="229"/>
      <c r="D12" s="229"/>
      <c r="E12" s="236" t="s">
        <v>110</v>
      </c>
      <c r="F12" s="229" t="s">
        <v>388</v>
      </c>
      <c r="G12" s="229"/>
    </row>
    <row r="13" spans="1:14">
      <c r="D13" s="410"/>
      <c r="E13" s="410"/>
      <c r="F13" s="410"/>
      <c r="G13" s="410"/>
    </row>
    <row r="14" spans="1:14">
      <c r="A14" s="177" t="s">
        <v>143</v>
      </c>
      <c r="B14" s="389" t="s">
        <v>163</v>
      </c>
      <c r="C14" s="390"/>
      <c r="E14" s="421" t="s">
        <v>237</v>
      </c>
      <c r="F14" s="422"/>
      <c r="G14" s="14">
        <f>IF(E12="MARRIED", MARRIAGE!D15,0)</f>
        <v>0</v>
      </c>
    </row>
    <row r="15" spans="1:14" s="132" customFormat="1">
      <c r="A15" s="177" t="s">
        <v>389</v>
      </c>
      <c r="B15" s="389" t="s">
        <v>163</v>
      </c>
      <c r="C15" s="390"/>
      <c r="E15" s="391" t="s">
        <v>297</v>
      </c>
      <c r="F15" s="414"/>
      <c r="G15" s="239">
        <v>0</v>
      </c>
      <c r="H15"/>
      <c r="I15"/>
      <c r="J15"/>
      <c r="K15"/>
      <c r="L15"/>
      <c r="M15"/>
      <c r="N15"/>
    </row>
    <row r="16" spans="1:14">
      <c r="A16" s="391" t="s">
        <v>454</v>
      </c>
      <c r="B16" s="392"/>
      <c r="C16" s="48">
        <v>0</v>
      </c>
      <c r="E16" s="391" t="s">
        <v>392</v>
      </c>
      <c r="F16" s="392"/>
      <c r="G16" s="14">
        <f>G15*0.15</f>
        <v>0</v>
      </c>
    </row>
    <row r="17" spans="1:14" s="132" customFormat="1" ht="5" customHeight="1">
      <c r="A17" s="137"/>
      <c r="B17" s="233"/>
      <c r="C17" s="233"/>
      <c r="D17" s="233"/>
      <c r="E17" s="233"/>
      <c r="F17" s="233"/>
      <c r="G17" s="233" t="s">
        <v>163</v>
      </c>
      <c r="H17"/>
      <c r="I17"/>
      <c r="J17"/>
      <c r="K17"/>
      <c r="L17"/>
      <c r="M17"/>
      <c r="N17"/>
    </row>
    <row r="18" spans="1:14">
      <c r="A18" s="176" t="s">
        <v>142</v>
      </c>
      <c r="B18" s="111"/>
      <c r="C18" s="132"/>
      <c r="F18" s="176" t="s">
        <v>346</v>
      </c>
      <c r="G18" s="111"/>
    </row>
    <row r="19" spans="1:14">
      <c r="A19" s="48">
        <v>0</v>
      </c>
      <c r="B19" s="110" t="s">
        <v>174</v>
      </c>
      <c r="F19" s="48">
        <v>0</v>
      </c>
      <c r="G19" s="110" t="s">
        <v>206</v>
      </c>
    </row>
    <row r="20" spans="1:14">
      <c r="A20" s="48">
        <v>0</v>
      </c>
      <c r="B20" s="110" t="s">
        <v>175</v>
      </c>
      <c r="F20" s="48">
        <v>0</v>
      </c>
      <c r="G20" s="110" t="s">
        <v>207</v>
      </c>
    </row>
    <row r="21" spans="1:14">
      <c r="A21" s="48">
        <v>0</v>
      </c>
      <c r="B21" s="110" t="s">
        <v>60</v>
      </c>
      <c r="F21" s="48">
        <v>0</v>
      </c>
      <c r="G21" s="110" t="s">
        <v>347</v>
      </c>
    </row>
    <row r="22" spans="1:14">
      <c r="A22" s="48">
        <v>0</v>
      </c>
      <c r="B22" s="110" t="s">
        <v>79</v>
      </c>
      <c r="F22" s="48">
        <v>0</v>
      </c>
      <c r="G22" s="110" t="s">
        <v>348</v>
      </c>
    </row>
    <row r="23" spans="1:14">
      <c r="A23" s="48">
        <v>0</v>
      </c>
      <c r="B23" s="110" t="s">
        <v>176</v>
      </c>
      <c r="F23" s="48">
        <v>0</v>
      </c>
      <c r="G23" s="110" t="s">
        <v>349</v>
      </c>
    </row>
    <row r="24" spans="1:14">
      <c r="A24" s="14">
        <f>SUM(A19:A23)*5</f>
        <v>0</v>
      </c>
      <c r="B24" s="14" t="s">
        <v>306</v>
      </c>
      <c r="F24" s="48">
        <v>0</v>
      </c>
      <c r="G24" s="110" t="s">
        <v>208</v>
      </c>
    </row>
    <row r="25" spans="1:14">
      <c r="A25" s="112">
        <f>IF(C25=0,0,(A19*450+A20*350+A21*300+A22*300))</f>
        <v>0</v>
      </c>
      <c r="B25" s="93" t="s">
        <v>80</v>
      </c>
      <c r="C25" s="206">
        <f>A19+A20+A21+A22+A23</f>
        <v>0</v>
      </c>
      <c r="D25" s="412" t="s">
        <v>386</v>
      </c>
      <c r="E25" s="413"/>
      <c r="F25" s="205">
        <f>SUM(F19:F24)</f>
        <v>0</v>
      </c>
      <c r="G25" s="93" t="s">
        <v>350</v>
      </c>
    </row>
    <row r="27" spans="1:14" ht="16">
      <c r="A27" s="409" t="s">
        <v>259</v>
      </c>
      <c r="B27" s="410"/>
      <c r="C27" s="410"/>
      <c r="D27" s="410"/>
      <c r="E27" s="410"/>
      <c r="F27" s="410"/>
      <c r="G27" s="410"/>
    </row>
    <row r="28" spans="1:14" ht="6" customHeight="1">
      <c r="B28" s="126" t="s">
        <v>163</v>
      </c>
      <c r="D28" s="126" t="s">
        <v>163</v>
      </c>
    </row>
    <row r="29" spans="1:14">
      <c r="A29" s="386" t="s">
        <v>296</v>
      </c>
      <c r="B29" s="387"/>
      <c r="C29" s="388"/>
      <c r="D29" s="130" t="s">
        <v>163</v>
      </c>
      <c r="F29" s="173" t="s">
        <v>298</v>
      </c>
      <c r="G29" s="164">
        <v>0</v>
      </c>
    </row>
    <row r="30" spans="1:14">
      <c r="A30" t="s">
        <v>178</v>
      </c>
      <c r="C30" s="48">
        <v>0</v>
      </c>
      <c r="D30" s="127"/>
      <c r="F30" s="173" t="s">
        <v>275</v>
      </c>
      <c r="G30" s="149">
        <f>'HOUSE-TRANSPORT'!C21</f>
        <v>0</v>
      </c>
    </row>
    <row r="31" spans="1:14">
      <c r="A31" s="400" t="s">
        <v>212</v>
      </c>
      <c r="B31" s="401"/>
      <c r="C31" s="181">
        <f>(C30+(C25*0.5))</f>
        <v>0</v>
      </c>
      <c r="D31" s="127"/>
      <c r="E31" s="127"/>
      <c r="F31" s="235" t="s">
        <v>398</v>
      </c>
      <c r="G31" s="149">
        <f>G29*0.00475</f>
        <v>0</v>
      </c>
    </row>
    <row r="32" spans="1:14">
      <c r="C32" s="131"/>
      <c r="D32" s="127"/>
      <c r="E32" s="127"/>
    </row>
    <row r="33" spans="1:9">
      <c r="A33" s="235" t="s">
        <v>322</v>
      </c>
      <c r="B33" s="417" t="s">
        <v>337</v>
      </c>
      <c r="C33" s="417"/>
      <c r="D33" s="418"/>
      <c r="E33" s="397" t="s">
        <v>399</v>
      </c>
      <c r="F33" s="398"/>
      <c r="G33" s="399"/>
    </row>
    <row r="34" spans="1:9">
      <c r="A34" s="235" t="s">
        <v>238</v>
      </c>
      <c r="B34" s="417" t="s">
        <v>345</v>
      </c>
      <c r="C34" s="417"/>
      <c r="D34" s="418"/>
      <c r="E34" s="395" t="s">
        <v>397</v>
      </c>
      <c r="F34" s="396"/>
      <c r="G34" s="15">
        <v>0</v>
      </c>
    </row>
    <row r="35" spans="1:9" s="132" customFormat="1">
      <c r="A35" s="235" t="s">
        <v>239</v>
      </c>
      <c r="B35" s="175">
        <v>0</v>
      </c>
      <c r="D35" s="240"/>
      <c r="E35" s="241"/>
      <c r="F35" s="235" t="s">
        <v>400</v>
      </c>
      <c r="G35" s="242">
        <f>G34*0.03</f>
        <v>0</v>
      </c>
      <c r="H35"/>
      <c r="I35"/>
    </row>
    <row r="37" spans="1:9" ht="16">
      <c r="A37" s="409" t="s">
        <v>299</v>
      </c>
      <c r="B37" s="410"/>
      <c r="C37" s="410"/>
      <c r="D37" s="410"/>
      <c r="E37" s="410"/>
      <c r="F37" s="410"/>
      <c r="G37" s="410"/>
    </row>
    <row r="38" spans="1:9" ht="6" customHeight="1"/>
    <row r="39" spans="1:9">
      <c r="A39" s="355" t="s">
        <v>429</v>
      </c>
      <c r="B39" s="356"/>
      <c r="C39" s="402" t="str">
        <f>'CAR PURCHASE'!B11</f>
        <v xml:space="preserve"> </v>
      </c>
      <c r="D39" s="403"/>
      <c r="E39" s="404" t="s">
        <v>132</v>
      </c>
      <c r="F39" s="405"/>
      <c r="G39" s="284">
        <f>'CAR PURCHASE'!C22</f>
        <v>0</v>
      </c>
    </row>
    <row r="40" spans="1:9">
      <c r="A40" s="355" t="s">
        <v>301</v>
      </c>
      <c r="B40" s="356"/>
      <c r="C40" s="402" t="str">
        <f>'CAR PURCHASE'!B12</f>
        <v xml:space="preserve"> </v>
      </c>
      <c r="D40" s="403"/>
      <c r="E40" s="404" t="s">
        <v>443</v>
      </c>
      <c r="F40" s="405"/>
      <c r="G40" s="15">
        <v>0</v>
      </c>
    </row>
    <row r="41" spans="1:9">
      <c r="A41" s="356" t="s">
        <v>430</v>
      </c>
      <c r="B41" s="356"/>
      <c r="C41" s="393" t="str">
        <f>'CAR PURCHASE'!B13</f>
        <v xml:space="preserve"> </v>
      </c>
      <c r="D41" s="394"/>
      <c r="E41" s="404" t="s">
        <v>369</v>
      </c>
      <c r="F41" s="405"/>
      <c r="G41" s="13" t="e">
        <f>(((B35*40)/G39)*G40)+75</f>
        <v>#DIV/0!</v>
      </c>
    </row>
    <row r="42" spans="1:9">
      <c r="A42" s="351" t="s">
        <v>402</v>
      </c>
      <c r="B42" s="352"/>
      <c r="C42" s="402" t="e">
        <f>'CAR PURCHASE'!D14</f>
        <v>#VALUE!</v>
      </c>
      <c r="D42" s="403"/>
      <c r="E42" s="423" t="s">
        <v>370</v>
      </c>
      <c r="F42" s="424"/>
      <c r="G42" s="13" t="e">
        <f>50+(C42*0.05)/12</f>
        <v>#VALUE!</v>
      </c>
    </row>
    <row r="43" spans="1:9">
      <c r="A43" s="351" t="s">
        <v>141</v>
      </c>
      <c r="B43" s="352"/>
      <c r="C43" s="393" t="str">
        <f>'CAR PURCHASE'!D17</f>
        <v xml:space="preserve"> </v>
      </c>
      <c r="D43" s="394"/>
    </row>
    <row r="44" spans="1:9">
      <c r="A44" s="351" t="s">
        <v>368</v>
      </c>
      <c r="B44" s="352"/>
      <c r="C44" s="415" t="str">
        <f>'CAR PURCHASE'!B18</f>
        <v xml:space="preserve"> </v>
      </c>
      <c r="D44" s="416"/>
    </row>
    <row r="45" spans="1:9">
      <c r="A45" s="351" t="s">
        <v>367</v>
      </c>
      <c r="B45" s="352"/>
      <c r="C45" s="402">
        <f>'CAR PURCHASE'!D18</f>
        <v>0</v>
      </c>
      <c r="D45" s="403"/>
      <c r="F45" s="174"/>
    </row>
    <row r="46" spans="1:9" ht="6" customHeight="1">
      <c r="B46" s="133"/>
      <c r="C46" s="133"/>
      <c r="D46" s="127"/>
      <c r="E46" s="127"/>
    </row>
    <row r="47" spans="1:9" ht="16">
      <c r="A47" s="409" t="s">
        <v>448</v>
      </c>
      <c r="B47" s="410"/>
      <c r="C47" s="410"/>
      <c r="D47" s="410"/>
      <c r="E47" s="410"/>
      <c r="F47" s="410"/>
      <c r="G47" s="410"/>
    </row>
    <row r="48" spans="1:9" ht="6" customHeight="1">
      <c r="A48" s="137"/>
      <c r="B48" s="127"/>
      <c r="C48" s="127"/>
      <c r="D48" s="127"/>
      <c r="E48" s="127"/>
      <c r="F48" s="127"/>
    </row>
    <row r="49" spans="1:7">
      <c r="A49" t="s">
        <v>155</v>
      </c>
      <c r="C49" s="15">
        <v>0</v>
      </c>
      <c r="E49" t="s">
        <v>154</v>
      </c>
      <c r="G49" s="15">
        <v>0</v>
      </c>
    </row>
    <row r="50" spans="1:7">
      <c r="A50" t="s">
        <v>156</v>
      </c>
      <c r="C50" s="15">
        <v>0</v>
      </c>
      <c r="E50" t="s">
        <v>157</v>
      </c>
      <c r="G50" s="15">
        <v>0</v>
      </c>
    </row>
    <row r="51" spans="1:7">
      <c r="A51" t="s">
        <v>158</v>
      </c>
      <c r="C51" s="15">
        <v>0</v>
      </c>
      <c r="E51" t="s">
        <v>159</v>
      </c>
      <c r="G51" s="178">
        <v>0</v>
      </c>
    </row>
    <row r="52" spans="1:7">
      <c r="A52" s="411" t="s">
        <v>334</v>
      </c>
      <c r="B52" s="405"/>
      <c r="C52" s="93">
        <f>C49+C50+C51</f>
        <v>0</v>
      </c>
      <c r="E52" s="411" t="s">
        <v>139</v>
      </c>
      <c r="F52" s="405"/>
      <c r="G52" s="93">
        <f>(G49+G50+G51)*+C25</f>
        <v>0</v>
      </c>
    </row>
    <row r="53" spans="1:7" ht="7" customHeight="1" thickBot="1">
      <c r="C53" s="10"/>
    </row>
    <row r="54" spans="1:7" ht="8" customHeight="1" thickTop="1">
      <c r="A54" s="179"/>
      <c r="B54" s="179"/>
      <c r="C54" s="179"/>
      <c r="D54" s="179"/>
      <c r="E54" s="179"/>
      <c r="F54" s="179"/>
      <c r="G54" s="180" t="s">
        <v>92</v>
      </c>
    </row>
    <row r="55" spans="1:7" ht="16">
      <c r="A55" s="409" t="s">
        <v>144</v>
      </c>
      <c r="B55" s="410"/>
      <c r="C55" s="410"/>
      <c r="D55" s="410"/>
      <c r="E55" s="410"/>
      <c r="F55" s="410"/>
      <c r="G55" s="410"/>
    </row>
    <row r="56" spans="1:7">
      <c r="A56" s="407" t="s">
        <v>373</v>
      </c>
      <c r="B56" s="408"/>
      <c r="C56" s="408"/>
      <c r="D56" s="408"/>
      <c r="E56" s="406" t="s">
        <v>25</v>
      </c>
      <c r="F56" s="410"/>
      <c r="G56" s="209" t="s">
        <v>73</v>
      </c>
    </row>
    <row r="57" spans="1:7">
      <c r="A57" s="407" t="s">
        <v>374</v>
      </c>
      <c r="B57" s="407"/>
      <c r="C57" s="407"/>
      <c r="D57" s="407"/>
      <c r="E57" s="406" t="s">
        <v>48</v>
      </c>
      <c r="F57" s="406"/>
      <c r="G57" s="210">
        <v>40119</v>
      </c>
    </row>
  </sheetData>
  <sheetProtection password="C640" sheet="1" objects="1" scenarios="1"/>
  <mergeCells count="46">
    <mergeCell ref="A45:B45"/>
    <mergeCell ref="C45:D45"/>
    <mergeCell ref="E40:F40"/>
    <mergeCell ref="E41:F41"/>
    <mergeCell ref="E42:F42"/>
    <mergeCell ref="A1:G1"/>
    <mergeCell ref="B3:C3"/>
    <mergeCell ref="F3:G3"/>
    <mergeCell ref="A27:G27"/>
    <mergeCell ref="D13:G13"/>
    <mergeCell ref="E14:F14"/>
    <mergeCell ref="B14:C14"/>
    <mergeCell ref="E52:F52"/>
    <mergeCell ref="A47:G47"/>
    <mergeCell ref="C42:D42"/>
    <mergeCell ref="C43:D43"/>
    <mergeCell ref="A11:G11"/>
    <mergeCell ref="D25:E25"/>
    <mergeCell ref="E15:F15"/>
    <mergeCell ref="A16:B16"/>
    <mergeCell ref="C44:D44"/>
    <mergeCell ref="A52:B52"/>
    <mergeCell ref="A42:B42"/>
    <mergeCell ref="A43:B43"/>
    <mergeCell ref="A44:B44"/>
    <mergeCell ref="B33:D33"/>
    <mergeCell ref="B34:D34"/>
    <mergeCell ref="A37:G37"/>
    <mergeCell ref="E57:F57"/>
    <mergeCell ref="A56:D56"/>
    <mergeCell ref="A57:D57"/>
    <mergeCell ref="A55:G55"/>
    <mergeCell ref="E56:F56"/>
    <mergeCell ref="A29:C29"/>
    <mergeCell ref="B15:C15"/>
    <mergeCell ref="E16:F16"/>
    <mergeCell ref="A39:B39"/>
    <mergeCell ref="C41:D41"/>
    <mergeCell ref="E34:F34"/>
    <mergeCell ref="E33:G33"/>
    <mergeCell ref="A31:B31"/>
    <mergeCell ref="A40:B40"/>
    <mergeCell ref="A41:B41"/>
    <mergeCell ref="C39:D39"/>
    <mergeCell ref="C40:D40"/>
    <mergeCell ref="E39:F39"/>
  </mergeCells>
  <phoneticPr fontId="26" type="noConversion"/>
  <hyperlinks>
    <hyperlink ref="E56" r:id="rId1"/>
    <hyperlink ref="E57" r:id="rId2"/>
    <hyperlink ref="F57" r:id="rId3" display="http://maps.google.com/"/>
  </hyperlinks>
  <pageMargins left="0.5" right="0.5" top="0.5" bottom="0.5" header="0.5" footer="0.5"/>
  <pageSetup orientation="portrait" horizontalDpi="4294967292" verticalDpi="4294967292"/>
  <extLst>
    <ext xmlns:x14="http://schemas.microsoft.com/office/spreadsheetml/2009/9/main" uri="{CCE6A557-97BC-4b89-ADB6-D9C93CAAB3DF}">
      <x14:dataValidations xmlns:xm="http://schemas.microsoft.com/office/excel/2006/main" count="1">
        <x14:dataValidation type="list" allowBlank="1" showInputMessage="1" showErrorMessage="1">
          <x14:formula1>
            <xm:f>MARRIAGE!$A$99:$A$100</xm:f>
          </x14:formula1>
          <xm:sqref>E12</xm:sqref>
        </x14:dataValidation>
      </x14:dataValidations>
    </ex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topLeftCell="A59" zoomScaleSheetLayoutView="100" workbookViewId="0">
      <selection activeCell="H110" sqref="H110"/>
    </sheetView>
  </sheetViews>
  <sheetFormatPr baseColWidth="10" defaultRowHeight="13" x14ac:dyDescent="0"/>
  <cols>
    <col min="1" max="1" width="4.5" style="51" customWidth="1"/>
    <col min="2" max="2" width="13.83203125" style="51" customWidth="1"/>
    <col min="3" max="3" width="11.5" style="51" customWidth="1"/>
    <col min="4" max="4" width="10.83203125" style="51"/>
    <col min="5" max="5" width="5.83203125" style="51" customWidth="1"/>
    <col min="6" max="6" width="9.6640625" style="82" customWidth="1"/>
    <col min="7" max="7" width="38.33203125" style="51" customWidth="1"/>
    <col min="8" max="16384" width="10.83203125" style="51"/>
  </cols>
  <sheetData>
    <row r="1" spans="1:9" ht="28">
      <c r="A1" s="113" t="s">
        <v>149</v>
      </c>
    </row>
    <row r="2" spans="1:9" s="58" customFormat="1">
      <c r="A2" s="57" t="s">
        <v>136</v>
      </c>
      <c r="C2" s="431" t="str">
        <f>INFORMATION!B3</f>
        <v xml:space="preserve"> </v>
      </c>
      <c r="D2" s="339"/>
      <c r="G2" s="120" t="s">
        <v>403</v>
      </c>
    </row>
    <row r="3" spans="1:9" s="58" customFormat="1">
      <c r="A3" s="430" t="s">
        <v>261</v>
      </c>
      <c r="B3" s="411"/>
      <c r="C3" s="405"/>
      <c r="D3" s="163"/>
    </row>
    <row r="4" spans="1:9" s="114" customFormat="1">
      <c r="A4" s="55" t="s">
        <v>123</v>
      </c>
      <c r="C4" s="51"/>
      <c r="D4" s="51"/>
      <c r="F4" s="115" t="s">
        <v>179</v>
      </c>
      <c r="H4" s="51"/>
      <c r="I4" s="51"/>
    </row>
    <row r="5" spans="1:9" s="114" customFormat="1">
      <c r="F5" s="116" t="s">
        <v>282</v>
      </c>
      <c r="G5" s="117" t="s">
        <v>281</v>
      </c>
      <c r="H5" s="51"/>
      <c r="I5" s="51"/>
    </row>
    <row r="6" spans="1:9" s="114" customFormat="1">
      <c r="A6" s="55" t="s">
        <v>41</v>
      </c>
      <c r="F6" s="92" t="e">
        <f>INFORMATION!G34/INFORMATION!C30</f>
        <v>#DIV/0!</v>
      </c>
      <c r="G6" s="52" t="s">
        <v>252</v>
      </c>
      <c r="H6" s="51"/>
      <c r="I6" s="51"/>
    </row>
    <row r="7" spans="1:9" s="114" customFormat="1">
      <c r="A7" s="55" t="s">
        <v>165</v>
      </c>
      <c r="F7" s="92" t="e">
        <f>INFORMATION!G41+INFORMATION!G30</f>
        <v>#DIV/0!</v>
      </c>
      <c r="G7" s="52" t="s">
        <v>253</v>
      </c>
      <c r="H7" s="51"/>
      <c r="I7" s="51"/>
    </row>
    <row r="8" spans="1:9" s="114" customFormat="1">
      <c r="A8" s="55" t="s">
        <v>166</v>
      </c>
      <c r="E8" s="114" t="s">
        <v>251</v>
      </c>
      <c r="F8" s="92">
        <f>SUM(F9:F10)</f>
        <v>0</v>
      </c>
      <c r="G8" s="52" t="s">
        <v>332</v>
      </c>
      <c r="H8" s="51"/>
      <c r="I8" s="51"/>
    </row>
    <row r="9" spans="1:9" s="114" customFormat="1">
      <c r="A9" s="55"/>
      <c r="B9" s="114" t="s">
        <v>126</v>
      </c>
      <c r="F9" s="92">
        <f>'HOUSE-TRANSPORT'!G28</f>
        <v>0</v>
      </c>
      <c r="G9" s="52"/>
      <c r="H9" s="51"/>
      <c r="I9" s="51"/>
    </row>
    <row r="10" spans="1:9" s="114" customFormat="1">
      <c r="A10" s="55"/>
      <c r="B10" s="114" t="s">
        <v>295</v>
      </c>
      <c r="F10" s="92">
        <f>BUDGET!D13</f>
        <v>0</v>
      </c>
      <c r="G10" s="52"/>
      <c r="H10" s="51"/>
      <c r="I10" s="51"/>
    </row>
    <row r="11" spans="1:9" s="114" customFormat="1">
      <c r="A11" s="55" t="s">
        <v>167</v>
      </c>
      <c r="E11" s="114" t="s">
        <v>251</v>
      </c>
      <c r="F11" s="92">
        <f>SUM(F12:F13)</f>
        <v>0</v>
      </c>
      <c r="G11" s="52" t="s">
        <v>328</v>
      </c>
      <c r="H11" s="51"/>
      <c r="I11" s="51"/>
    </row>
    <row r="12" spans="1:9" s="114" customFormat="1">
      <c r="A12" s="55"/>
      <c r="B12" s="114" t="s">
        <v>246</v>
      </c>
      <c r="F12" s="92">
        <f>'HOUSE-TRANSPORT'!F28</f>
        <v>0</v>
      </c>
      <c r="G12" s="52"/>
      <c r="H12" s="51"/>
      <c r="I12" s="51"/>
    </row>
    <row r="13" spans="1:9" s="114" customFormat="1">
      <c r="A13" s="55"/>
      <c r="B13" s="114" t="s">
        <v>295</v>
      </c>
      <c r="F13" s="92">
        <f>BUDGET!D15</f>
        <v>0</v>
      </c>
      <c r="G13" s="52"/>
      <c r="H13" s="51"/>
      <c r="I13" s="51"/>
    </row>
    <row r="14" spans="1:9" s="114" customFormat="1">
      <c r="A14" s="55" t="s">
        <v>168</v>
      </c>
      <c r="E14" s="114" t="s">
        <v>251</v>
      </c>
      <c r="F14" s="92">
        <f>SUM(F15:F16)</f>
        <v>0</v>
      </c>
      <c r="G14" s="52" t="s">
        <v>329</v>
      </c>
      <c r="H14" s="51"/>
      <c r="I14" s="51"/>
    </row>
    <row r="15" spans="1:9" s="114" customFormat="1">
      <c r="A15" s="55"/>
      <c r="B15" s="114" t="s">
        <v>120</v>
      </c>
      <c r="F15" s="92">
        <f>'HOUSE-TRANSPORT'!E28</f>
        <v>0</v>
      </c>
      <c r="G15" s="52"/>
      <c r="H15" s="51"/>
      <c r="I15" s="51"/>
    </row>
    <row r="16" spans="1:9" s="114" customFormat="1">
      <c r="A16" s="55"/>
      <c r="B16" s="114" t="s">
        <v>295</v>
      </c>
      <c r="F16" s="92">
        <f>BUDGET!D17</f>
        <v>0</v>
      </c>
      <c r="G16" s="52"/>
      <c r="H16" s="51"/>
      <c r="I16" s="51"/>
    </row>
    <row r="17" spans="1:9" s="114" customFormat="1">
      <c r="A17" s="55" t="s">
        <v>169</v>
      </c>
      <c r="E17" s="114" t="s">
        <v>251</v>
      </c>
      <c r="F17" s="92">
        <f>F18+F20</f>
        <v>40</v>
      </c>
      <c r="G17" s="52" t="s">
        <v>65</v>
      </c>
      <c r="H17" s="51" t="s">
        <v>163</v>
      </c>
      <c r="I17" s="51"/>
    </row>
    <row r="18" spans="1:9" s="114" customFormat="1">
      <c r="A18" s="55"/>
      <c r="B18" s="114" t="s">
        <v>317</v>
      </c>
      <c r="F18" s="92">
        <v>40</v>
      </c>
      <c r="G18" s="118" t="s">
        <v>330</v>
      </c>
      <c r="H18" s="51"/>
      <c r="I18" s="51"/>
    </row>
    <row r="19" spans="1:9" s="114" customFormat="1">
      <c r="A19" s="55"/>
      <c r="B19" s="237" t="s">
        <v>460</v>
      </c>
      <c r="F19" s="46">
        <v>0</v>
      </c>
      <c r="G19" s="118"/>
      <c r="H19" s="248"/>
      <c r="I19" s="248"/>
    </row>
    <row r="20" spans="1:9" s="114" customFormat="1">
      <c r="A20" s="55"/>
      <c r="B20" s="114" t="s">
        <v>121</v>
      </c>
      <c r="F20" s="92">
        <f>IF(INFORMATION!A23&gt;0,'MONTHLY LIVING'!F18,0)</f>
        <v>0</v>
      </c>
      <c r="G20" s="52"/>
      <c r="H20" s="51"/>
      <c r="I20" s="51"/>
    </row>
    <row r="21" spans="1:9" s="114" customFormat="1">
      <c r="A21" s="55" t="s">
        <v>170</v>
      </c>
      <c r="E21" s="114" t="s">
        <v>251</v>
      </c>
      <c r="F21" s="92" t="e">
        <f>F24+F23+F22</f>
        <v>#DIV/0!</v>
      </c>
      <c r="G21" s="52" t="s">
        <v>222</v>
      </c>
      <c r="H21" s="51"/>
      <c r="I21" s="51"/>
    </row>
    <row r="22" spans="1:9" s="114" customFormat="1">
      <c r="A22" s="55"/>
      <c r="B22" s="114" t="s">
        <v>316</v>
      </c>
      <c r="F22" s="46">
        <v>0</v>
      </c>
      <c r="G22" s="118" t="s">
        <v>254</v>
      </c>
      <c r="H22" s="51"/>
      <c r="I22" s="51"/>
    </row>
    <row r="23" spans="1:9" s="114" customFormat="1">
      <c r="A23" s="55"/>
      <c r="B23" s="114" t="s">
        <v>130</v>
      </c>
      <c r="F23" s="46">
        <v>0</v>
      </c>
      <c r="G23" s="204"/>
      <c r="H23" s="51"/>
      <c r="I23" s="51"/>
    </row>
    <row r="24" spans="1:9" s="114" customFormat="1">
      <c r="A24" s="55"/>
      <c r="B24" s="114" t="s">
        <v>260</v>
      </c>
      <c r="F24" s="92" t="e">
        <f>50/INFORMATION!C30</f>
        <v>#DIV/0!</v>
      </c>
      <c r="G24" s="204"/>
      <c r="H24" s="51"/>
      <c r="I24" s="51"/>
    </row>
    <row r="25" spans="1:9" s="114" customFormat="1">
      <c r="A25" s="55" t="s">
        <v>7</v>
      </c>
      <c r="E25" s="51" t="s">
        <v>251</v>
      </c>
      <c r="F25" s="92" t="e">
        <f>'HOUSE-TRANSPORT'!G22</f>
        <v>#DIV/0!</v>
      </c>
      <c r="G25" s="52" t="s">
        <v>331</v>
      </c>
      <c r="H25" s="51"/>
      <c r="I25" s="51"/>
    </row>
    <row r="26" spans="1:9" s="114" customFormat="1">
      <c r="A26" s="55" t="s">
        <v>46</v>
      </c>
      <c r="F26" s="92" t="e">
        <f>INFORMATION!G42+F27</f>
        <v>#VALUE!</v>
      </c>
      <c r="G26" s="52" t="s">
        <v>0</v>
      </c>
      <c r="H26" s="51"/>
      <c r="I26" s="51"/>
    </row>
    <row r="27" spans="1:9" s="114" customFormat="1">
      <c r="A27" s="55"/>
      <c r="B27" s="237" t="s">
        <v>391</v>
      </c>
      <c r="D27" s="92">
        <f>'HOUSE-TRANSPORT'!C53</f>
        <v>33.75</v>
      </c>
      <c r="F27" s="46">
        <v>0</v>
      </c>
      <c r="G27" s="238" t="s">
        <v>395</v>
      </c>
      <c r="H27" s="51"/>
      <c r="I27" s="51"/>
    </row>
    <row r="28" spans="1:9" s="114" customFormat="1">
      <c r="A28" s="55" t="s">
        <v>45</v>
      </c>
      <c r="F28" s="92">
        <f>'HOUSE-TRANSPORT'!C45+F29</f>
        <v>0</v>
      </c>
      <c r="G28" s="52" t="s">
        <v>252</v>
      </c>
      <c r="H28" s="51"/>
      <c r="I28" s="51"/>
    </row>
    <row r="29" spans="1:9" s="114" customFormat="1">
      <c r="A29" s="55"/>
      <c r="B29" s="114" t="s">
        <v>153</v>
      </c>
      <c r="F29" s="46">
        <v>0</v>
      </c>
      <c r="G29" s="52" t="s">
        <v>252</v>
      </c>
      <c r="H29" s="51"/>
      <c r="I29" s="51"/>
    </row>
    <row r="30" spans="1:9" s="114" customFormat="1">
      <c r="A30" s="55" t="s">
        <v>172</v>
      </c>
      <c r="E30" s="114" t="s">
        <v>251</v>
      </c>
      <c r="F30" s="92">
        <f>SUM(F31:F37)</f>
        <v>0</v>
      </c>
      <c r="G30" s="53" t="s">
        <v>65</v>
      </c>
    </row>
    <row r="31" spans="1:9" s="114" customFormat="1">
      <c r="A31" s="55"/>
      <c r="B31" s="114" t="s">
        <v>318</v>
      </c>
      <c r="F31" s="46">
        <v>0</v>
      </c>
      <c r="G31" s="47"/>
    </row>
    <row r="32" spans="1:9" s="114" customFormat="1">
      <c r="A32" s="55"/>
      <c r="B32" s="114" t="s">
        <v>319</v>
      </c>
      <c r="F32" s="46">
        <v>0</v>
      </c>
      <c r="G32" s="47"/>
    </row>
    <row r="33" spans="1:7" s="114" customFormat="1">
      <c r="A33" s="55"/>
      <c r="B33" s="237" t="s">
        <v>396</v>
      </c>
      <c r="F33" s="92">
        <f>DEPENDENTS!H35</f>
        <v>0</v>
      </c>
      <c r="G33" s="47"/>
    </row>
    <row r="34" spans="1:7" s="114" customFormat="1">
      <c r="A34" s="55"/>
      <c r="B34" s="114" t="s">
        <v>67</v>
      </c>
      <c r="F34" s="92">
        <f>'HOUSE-TRANSPORT'!B28</f>
        <v>0</v>
      </c>
      <c r="G34" s="47"/>
    </row>
    <row r="35" spans="1:7" s="114" customFormat="1">
      <c r="A35" s="55"/>
      <c r="B35" s="114" t="s">
        <v>122</v>
      </c>
      <c r="F35" s="92">
        <f>BUDGET!D27</f>
        <v>0</v>
      </c>
      <c r="G35" s="48"/>
    </row>
    <row r="36" spans="1:7" s="114" customFormat="1">
      <c r="A36" s="55"/>
      <c r="B36" s="114" t="s">
        <v>36</v>
      </c>
      <c r="C36" s="428"/>
      <c r="D36" s="429"/>
      <c r="F36" s="46">
        <v>0</v>
      </c>
      <c r="G36" s="48"/>
    </row>
    <row r="37" spans="1:7" s="114" customFormat="1">
      <c r="A37" s="55"/>
      <c r="B37" s="114" t="s">
        <v>36</v>
      </c>
      <c r="C37" s="428"/>
      <c r="D37" s="429"/>
      <c r="F37" s="46">
        <v>0</v>
      </c>
      <c r="G37" s="48"/>
    </row>
    <row r="38" spans="1:7" s="114" customFormat="1">
      <c r="A38" s="55" t="s">
        <v>4</v>
      </c>
      <c r="E38" s="114" t="s">
        <v>251</v>
      </c>
      <c r="F38" s="119" t="e">
        <f>SUM(F39:F40)</f>
        <v>#DIV/0!</v>
      </c>
      <c r="G38" s="53" t="s">
        <v>1</v>
      </c>
    </row>
    <row r="39" spans="1:7" s="114" customFormat="1">
      <c r="A39" s="55"/>
      <c r="B39" s="114" t="s">
        <v>232</v>
      </c>
      <c r="F39" s="46">
        <v>0</v>
      </c>
      <c r="G39" s="47"/>
    </row>
    <row r="40" spans="1:7" s="114" customFormat="1">
      <c r="A40" s="55"/>
      <c r="B40" s="114" t="s">
        <v>3</v>
      </c>
      <c r="F40" s="92" t="e">
        <f>INFORMATION!G41</f>
        <v>#DIV/0!</v>
      </c>
      <c r="G40" s="230"/>
    </row>
    <row r="41" spans="1:7" s="114" customFormat="1">
      <c r="A41" s="55"/>
      <c r="B41" s="114" t="s">
        <v>122</v>
      </c>
      <c r="F41" s="92">
        <f>BUDGET!D29</f>
        <v>0</v>
      </c>
      <c r="G41" s="230"/>
    </row>
    <row r="42" spans="1:7" s="114" customFormat="1">
      <c r="A42" s="55" t="s">
        <v>249</v>
      </c>
      <c r="E42" s="114" t="s">
        <v>251</v>
      </c>
      <c r="F42" s="92">
        <f>F43+F44</f>
        <v>0</v>
      </c>
      <c r="G42" s="52" t="s">
        <v>253</v>
      </c>
    </row>
    <row r="43" spans="1:7" s="114" customFormat="1">
      <c r="A43" s="55"/>
      <c r="B43" s="114" t="s">
        <v>124</v>
      </c>
      <c r="F43" s="92">
        <f>'HOUSE-TRANSPORT'!C28</f>
        <v>0</v>
      </c>
      <c r="G43" s="52"/>
    </row>
    <row r="44" spans="1:7" s="114" customFormat="1">
      <c r="A44" s="55"/>
      <c r="B44" s="114" t="s">
        <v>122</v>
      </c>
      <c r="F44" s="92">
        <f>BUDGET!D31</f>
        <v>0</v>
      </c>
      <c r="G44" s="52"/>
    </row>
    <row r="45" spans="1:7" s="114" customFormat="1">
      <c r="A45" s="55" t="s">
        <v>64</v>
      </c>
      <c r="E45" s="114" t="s">
        <v>251</v>
      </c>
      <c r="F45" s="92">
        <f>F46+F47</f>
        <v>0</v>
      </c>
      <c r="G45" s="52" t="s">
        <v>0</v>
      </c>
    </row>
    <row r="46" spans="1:7" s="114" customFormat="1">
      <c r="A46" s="55"/>
      <c r="B46" s="114" t="s">
        <v>125</v>
      </c>
      <c r="F46" s="92">
        <f>INFORMATION!C52</f>
        <v>0</v>
      </c>
      <c r="G46" s="52" t="s">
        <v>326</v>
      </c>
    </row>
    <row r="47" spans="1:7" s="114" customFormat="1">
      <c r="A47" s="55"/>
      <c r="B47" s="114" t="s">
        <v>122</v>
      </c>
      <c r="F47" s="92">
        <f>INFORMATION!G52</f>
        <v>0</v>
      </c>
      <c r="G47" s="52" t="s">
        <v>326</v>
      </c>
    </row>
    <row r="48" spans="1:7">
      <c r="F48" s="51"/>
    </row>
    <row r="49" spans="1:7" s="121" customFormat="1" ht="18">
      <c r="A49" s="121" t="s">
        <v>115</v>
      </c>
    </row>
    <row r="50" spans="1:7" s="114" customFormat="1">
      <c r="A50" s="55" t="s">
        <v>308</v>
      </c>
      <c r="E50" s="114" t="s">
        <v>251</v>
      </c>
      <c r="F50" s="92">
        <f>SUM(F51:F58)</f>
        <v>0</v>
      </c>
      <c r="G50" s="52" t="s">
        <v>253</v>
      </c>
    </row>
    <row r="51" spans="1:7" s="114" customFormat="1">
      <c r="A51" s="55"/>
      <c r="B51" s="114" t="s">
        <v>283</v>
      </c>
      <c r="F51" s="46">
        <v>0</v>
      </c>
      <c r="G51" s="47"/>
    </row>
    <row r="52" spans="1:7" s="114" customFormat="1">
      <c r="A52" s="54"/>
      <c r="B52" s="114" t="s">
        <v>150</v>
      </c>
      <c r="F52" s="46">
        <v>0</v>
      </c>
      <c r="G52" s="47"/>
    </row>
    <row r="53" spans="1:7" s="114" customFormat="1">
      <c r="A53" s="54"/>
      <c r="B53" s="114" t="s">
        <v>33</v>
      </c>
      <c r="F53" s="46">
        <v>0</v>
      </c>
      <c r="G53" s="47"/>
    </row>
    <row r="54" spans="1:7" s="114" customFormat="1">
      <c r="A54" s="54"/>
      <c r="B54" s="114" t="s">
        <v>34</v>
      </c>
      <c r="F54" s="46">
        <v>0</v>
      </c>
      <c r="G54" s="47"/>
    </row>
    <row r="55" spans="1:7" s="114" customFormat="1">
      <c r="A55" s="54"/>
      <c r="B55" s="114" t="s">
        <v>35</v>
      </c>
      <c r="F55" s="46">
        <v>0</v>
      </c>
      <c r="G55" s="47"/>
    </row>
    <row r="56" spans="1:7" s="114" customFormat="1">
      <c r="A56" s="54"/>
      <c r="B56" s="114" t="s">
        <v>10</v>
      </c>
      <c r="F56" s="46">
        <v>0</v>
      </c>
      <c r="G56" s="47"/>
    </row>
    <row r="57" spans="1:7" s="114" customFormat="1">
      <c r="A57" s="54"/>
      <c r="B57" s="114" t="s">
        <v>36</v>
      </c>
      <c r="C57" s="428"/>
      <c r="D57" s="429"/>
      <c r="F57" s="46">
        <v>0</v>
      </c>
      <c r="G57" s="47"/>
    </row>
    <row r="58" spans="1:7" s="114" customFormat="1">
      <c r="A58" s="54"/>
      <c r="B58" s="114" t="s">
        <v>36</v>
      </c>
      <c r="C58" s="428"/>
      <c r="D58" s="429"/>
      <c r="F58" s="46">
        <v>0</v>
      </c>
      <c r="G58" s="47"/>
    </row>
    <row r="59" spans="1:7" s="114" customFormat="1">
      <c r="A59" s="55" t="s">
        <v>68</v>
      </c>
      <c r="E59" s="114" t="s">
        <v>251</v>
      </c>
      <c r="F59" s="92">
        <f>SUM(F60:F68)</f>
        <v>0</v>
      </c>
      <c r="G59" s="52" t="s">
        <v>253</v>
      </c>
    </row>
    <row r="60" spans="1:7" s="114" customFormat="1">
      <c r="A60" s="55"/>
      <c r="B60" s="114" t="s">
        <v>117</v>
      </c>
      <c r="F60" s="46">
        <v>0</v>
      </c>
      <c r="G60" s="47"/>
    </row>
    <row r="61" spans="1:7" s="114" customFormat="1">
      <c r="A61" s="55"/>
      <c r="B61" s="114" t="s">
        <v>118</v>
      </c>
      <c r="F61" s="46">
        <v>0</v>
      </c>
      <c r="G61" s="47"/>
    </row>
    <row r="62" spans="1:7" s="114" customFormat="1">
      <c r="A62" s="55"/>
      <c r="B62" s="114" t="s">
        <v>6</v>
      </c>
      <c r="F62" s="46">
        <v>0</v>
      </c>
      <c r="G62" s="47"/>
    </row>
    <row r="63" spans="1:7" s="114" customFormat="1">
      <c r="A63" s="55"/>
      <c r="B63" s="114" t="s">
        <v>119</v>
      </c>
      <c r="F63" s="46">
        <v>0</v>
      </c>
      <c r="G63" s="47"/>
    </row>
    <row r="64" spans="1:7" s="114" customFormat="1">
      <c r="A64" s="55"/>
      <c r="B64" s="114" t="s">
        <v>116</v>
      </c>
      <c r="F64" s="46">
        <v>0</v>
      </c>
      <c r="G64" s="47"/>
    </row>
    <row r="65" spans="1:8" s="114" customFormat="1">
      <c r="A65" s="55"/>
      <c r="B65" s="114" t="s">
        <v>286</v>
      </c>
      <c r="F65" s="46">
        <v>0</v>
      </c>
      <c r="G65" s="47"/>
    </row>
    <row r="66" spans="1:8" s="114" customFormat="1">
      <c r="A66" s="54"/>
      <c r="B66" s="114" t="s">
        <v>146</v>
      </c>
      <c r="C66" s="92">
        <f>INFORMATION!G14</f>
        <v>0</v>
      </c>
      <c r="D66" s="436" t="s">
        <v>459</v>
      </c>
      <c r="E66" s="437"/>
      <c r="F66" s="46">
        <v>0</v>
      </c>
      <c r="G66" s="47"/>
    </row>
    <row r="67" spans="1:8">
      <c r="B67" s="114" t="s">
        <v>36</v>
      </c>
      <c r="C67" s="434"/>
      <c r="D67" s="435"/>
      <c r="E67" s="114"/>
      <c r="F67" s="46">
        <v>0</v>
      </c>
      <c r="G67" s="47"/>
    </row>
    <row r="68" spans="1:8">
      <c r="B68" s="114" t="s">
        <v>36</v>
      </c>
      <c r="C68" s="428"/>
      <c r="D68" s="429"/>
      <c r="E68" s="114"/>
      <c r="F68" s="46">
        <v>0</v>
      </c>
      <c r="G68" s="47"/>
    </row>
    <row r="69" spans="1:8">
      <c r="C69"/>
      <c r="D69"/>
      <c r="F69" s="51"/>
    </row>
    <row r="70" spans="1:8">
      <c r="G70" s="117" t="s">
        <v>281</v>
      </c>
    </row>
    <row r="71" spans="1:8" s="114" customFormat="1">
      <c r="A71" s="55" t="s">
        <v>30</v>
      </c>
      <c r="E71" s="114" t="s">
        <v>251</v>
      </c>
      <c r="F71" s="92">
        <f>SUM(F72:F77)</f>
        <v>0</v>
      </c>
      <c r="G71" s="52" t="s">
        <v>252</v>
      </c>
    </row>
    <row r="72" spans="1:8" s="114" customFormat="1">
      <c r="A72" s="54"/>
      <c r="B72" s="114" t="s">
        <v>287</v>
      </c>
      <c r="F72" s="46">
        <v>0</v>
      </c>
      <c r="G72" s="47"/>
    </row>
    <row r="73" spans="1:8" s="114" customFormat="1">
      <c r="A73" s="54"/>
      <c r="B73" s="114" t="s">
        <v>288</v>
      </c>
      <c r="F73" s="46">
        <v>0</v>
      </c>
      <c r="G73" s="47"/>
    </row>
    <row r="74" spans="1:8" s="114" customFormat="1">
      <c r="A74" s="54"/>
      <c r="B74" s="114" t="s">
        <v>289</v>
      </c>
      <c r="F74" s="46">
        <v>0</v>
      </c>
      <c r="G74" s="47"/>
    </row>
    <row r="75" spans="1:8" s="114" customFormat="1">
      <c r="A75" s="54"/>
      <c r="B75" s="114" t="s">
        <v>8</v>
      </c>
      <c r="F75" s="46">
        <v>0</v>
      </c>
      <c r="G75" s="47"/>
    </row>
    <row r="76" spans="1:8" s="114" customFormat="1">
      <c r="A76" s="54"/>
      <c r="B76" s="114" t="s">
        <v>9</v>
      </c>
      <c r="F76" s="46">
        <v>0</v>
      </c>
      <c r="G76" s="52" t="s">
        <v>2</v>
      </c>
    </row>
    <row r="77" spans="1:8" s="114" customFormat="1">
      <c r="A77" s="54"/>
      <c r="B77" s="114" t="s">
        <v>36</v>
      </c>
      <c r="F77" s="46">
        <v>0</v>
      </c>
      <c r="G77" s="47"/>
      <c r="H77" s="114" t="s">
        <v>163</v>
      </c>
    </row>
    <row r="78" spans="1:8" s="114" customFormat="1">
      <c r="A78" s="55" t="s">
        <v>31</v>
      </c>
      <c r="E78" s="114" t="s">
        <v>251</v>
      </c>
      <c r="F78" s="92">
        <f>SUM(F79:F82)</f>
        <v>0</v>
      </c>
      <c r="G78" s="52" t="s">
        <v>252</v>
      </c>
    </row>
    <row r="79" spans="1:8" s="114" customFormat="1">
      <c r="A79" s="54"/>
      <c r="B79" s="114" t="s">
        <v>377</v>
      </c>
      <c r="F79" s="46">
        <v>0</v>
      </c>
      <c r="G79" s="47"/>
    </row>
    <row r="80" spans="1:8" s="114" customFormat="1">
      <c r="A80" s="54"/>
      <c r="B80" s="114" t="s">
        <v>378</v>
      </c>
      <c r="F80" s="46">
        <v>0</v>
      </c>
      <c r="G80" s="47"/>
    </row>
    <row r="81" spans="1:7" s="114" customFormat="1">
      <c r="A81" s="54"/>
      <c r="B81" s="114" t="s">
        <v>379</v>
      </c>
      <c r="F81" s="46">
        <v>0</v>
      </c>
      <c r="G81" s="47"/>
    </row>
    <row r="82" spans="1:7" s="114" customFormat="1">
      <c r="A82" s="54"/>
      <c r="B82" s="114" t="s">
        <v>36</v>
      </c>
      <c r="F82" s="46">
        <v>0</v>
      </c>
      <c r="G82" s="47"/>
    </row>
    <row r="83" spans="1:7" s="114" customFormat="1">
      <c r="A83" s="55" t="s">
        <v>38</v>
      </c>
      <c r="E83" s="114" t="s">
        <v>251</v>
      </c>
      <c r="F83" s="92">
        <f>SUM(F84:F98)</f>
        <v>0</v>
      </c>
      <c r="G83" s="52" t="s">
        <v>252</v>
      </c>
    </row>
    <row r="84" spans="1:7" s="114" customFormat="1">
      <c r="B84" s="114" t="s">
        <v>380</v>
      </c>
      <c r="F84" s="46">
        <v>0</v>
      </c>
      <c r="G84" s="47"/>
    </row>
    <row r="85" spans="1:7" s="114" customFormat="1">
      <c r="B85" s="114" t="s">
        <v>381</v>
      </c>
      <c r="F85" s="46">
        <v>0</v>
      </c>
      <c r="G85" s="47"/>
    </row>
    <row r="86" spans="1:7">
      <c r="B86" s="51" t="s">
        <v>382</v>
      </c>
      <c r="F86" s="15">
        <v>0</v>
      </c>
      <c r="G86" s="47"/>
    </row>
    <row r="87" spans="1:7">
      <c r="B87" s="51" t="s">
        <v>383</v>
      </c>
      <c r="F87" s="15">
        <v>0</v>
      </c>
      <c r="G87" s="47"/>
    </row>
    <row r="88" spans="1:7">
      <c r="B88" s="51" t="s">
        <v>384</v>
      </c>
      <c r="F88" s="15">
        <v>0</v>
      </c>
      <c r="G88" s="47"/>
    </row>
    <row r="89" spans="1:7">
      <c r="B89" s="51" t="s">
        <v>278</v>
      </c>
      <c r="F89" s="15">
        <v>0</v>
      </c>
      <c r="G89" s="47"/>
    </row>
    <row r="90" spans="1:7">
      <c r="B90" s="51" t="s">
        <v>279</v>
      </c>
      <c r="F90" s="15">
        <v>0</v>
      </c>
      <c r="G90" s="47"/>
    </row>
    <row r="91" spans="1:7">
      <c r="B91" s="51" t="s">
        <v>211</v>
      </c>
      <c r="F91" s="14">
        <f>DEPENDENTS!H35</f>
        <v>0</v>
      </c>
      <c r="G91" s="47"/>
    </row>
    <row r="92" spans="1:7">
      <c r="B92" s="51" t="s">
        <v>280</v>
      </c>
      <c r="F92" s="15">
        <v>0</v>
      </c>
      <c r="G92" s="47"/>
    </row>
    <row r="93" spans="1:7">
      <c r="B93" s="51" t="s">
        <v>284</v>
      </c>
      <c r="F93" s="15">
        <v>0</v>
      </c>
      <c r="G93" s="47"/>
    </row>
    <row r="94" spans="1:7">
      <c r="B94" s="51" t="s">
        <v>309</v>
      </c>
      <c r="F94" s="15">
        <v>0</v>
      </c>
      <c r="G94" s="47"/>
    </row>
    <row r="95" spans="1:7">
      <c r="B95" s="51" t="s">
        <v>302</v>
      </c>
      <c r="F95" s="129">
        <f>INFORMATION!A25</f>
        <v>0</v>
      </c>
      <c r="G95" s="52" t="s">
        <v>252</v>
      </c>
    </row>
    <row r="96" spans="1:7">
      <c r="B96" s="51" t="s">
        <v>303</v>
      </c>
      <c r="D96" s="438"/>
      <c r="E96" s="439"/>
      <c r="F96" s="149">
        <f>(INFORMATION!G15/2)/24</f>
        <v>0</v>
      </c>
      <c r="G96" s="118" t="s">
        <v>66</v>
      </c>
    </row>
    <row r="97" spans="1:8">
      <c r="B97" s="51" t="s">
        <v>36</v>
      </c>
      <c r="C97" s="433"/>
      <c r="D97" s="429"/>
      <c r="F97" s="15">
        <v>0</v>
      </c>
      <c r="G97" s="47"/>
    </row>
    <row r="98" spans="1:8">
      <c r="B98" s="51" t="s">
        <v>36</v>
      </c>
      <c r="C98" s="433"/>
      <c r="D98" s="429"/>
      <c r="F98" s="15">
        <v>0</v>
      </c>
      <c r="G98" s="47"/>
    </row>
    <row r="100" spans="1:8">
      <c r="A100" s="55" t="s">
        <v>93</v>
      </c>
      <c r="B100" s="114"/>
      <c r="C100" s="114"/>
      <c r="D100" s="114"/>
      <c r="E100" s="114" t="s">
        <v>251</v>
      </c>
      <c r="F100" s="92">
        <f>SUM(F101:F104)</f>
        <v>0</v>
      </c>
      <c r="G100" s="52" t="s">
        <v>86</v>
      </c>
    </row>
    <row r="101" spans="1:8">
      <c r="A101" s="54"/>
      <c r="B101" s="114" t="s">
        <v>82</v>
      </c>
      <c r="C101" s="114"/>
      <c r="D101" s="114"/>
      <c r="E101" s="114"/>
      <c r="F101" s="46">
        <v>0</v>
      </c>
      <c r="G101" s="47"/>
    </row>
    <row r="102" spans="1:8">
      <c r="A102" s="54"/>
      <c r="B102" s="114" t="s">
        <v>83</v>
      </c>
      <c r="C102" s="114"/>
      <c r="D102" s="114"/>
      <c r="E102" s="114"/>
      <c r="F102" s="46">
        <v>0</v>
      </c>
      <c r="G102" s="47" t="s">
        <v>337</v>
      </c>
    </row>
    <row r="103" spans="1:8">
      <c r="A103" s="54"/>
      <c r="B103" s="114" t="s">
        <v>84</v>
      </c>
      <c r="C103" s="114"/>
      <c r="D103" s="114"/>
      <c r="E103" s="114"/>
      <c r="F103" s="46">
        <v>0</v>
      </c>
      <c r="G103" s="47" t="s">
        <v>92</v>
      </c>
    </row>
    <row r="104" spans="1:8">
      <c r="A104" s="54"/>
      <c r="B104" s="114" t="s">
        <v>85</v>
      </c>
      <c r="C104" s="114"/>
      <c r="D104" s="114"/>
      <c r="E104" s="114"/>
      <c r="F104" s="46">
        <v>0</v>
      </c>
      <c r="G104" s="47" t="s">
        <v>92</v>
      </c>
    </row>
    <row r="105" spans="1:8">
      <c r="F105" s="82" t="s">
        <v>87</v>
      </c>
    </row>
    <row r="107" spans="1:8">
      <c r="A107" s="55" t="s">
        <v>269</v>
      </c>
      <c r="B107" s="114"/>
      <c r="C107" s="114"/>
      <c r="D107" s="114"/>
      <c r="E107" s="114" t="s">
        <v>263</v>
      </c>
      <c r="F107" s="51"/>
    </row>
    <row r="108" spans="1:8">
      <c r="A108" s="54"/>
      <c r="B108" s="148"/>
      <c r="C108" s="432" t="s">
        <v>264</v>
      </c>
      <c r="D108" s="432"/>
      <c r="E108" s="432"/>
      <c r="F108" s="427" t="s">
        <v>86</v>
      </c>
      <c r="G108" s="418"/>
      <c r="H108" s="92" t="s">
        <v>92</v>
      </c>
    </row>
    <row r="109" spans="1:8">
      <c r="A109" s="54"/>
      <c r="B109" s="204" t="s">
        <v>265</v>
      </c>
      <c r="C109" s="425" t="s">
        <v>371</v>
      </c>
      <c r="D109" s="425"/>
      <c r="E109" s="425"/>
      <c r="F109" s="425" t="s">
        <v>372</v>
      </c>
      <c r="G109" s="426"/>
      <c r="H109" s="46">
        <v>0</v>
      </c>
    </row>
    <row r="110" spans="1:8">
      <c r="A110" s="54"/>
      <c r="B110" s="204" t="s">
        <v>266</v>
      </c>
      <c r="C110" s="425" t="s">
        <v>343</v>
      </c>
      <c r="D110" s="425"/>
      <c r="E110" s="425"/>
      <c r="F110" s="425" t="s">
        <v>344</v>
      </c>
      <c r="G110" s="426"/>
      <c r="H110" s="46">
        <v>0</v>
      </c>
    </row>
    <row r="111" spans="1:8">
      <c r="A111" s="54"/>
      <c r="B111" s="204" t="s">
        <v>267</v>
      </c>
      <c r="C111" s="425" t="s">
        <v>343</v>
      </c>
      <c r="D111" s="425"/>
      <c r="E111" s="425"/>
      <c r="F111" s="425" t="s">
        <v>344</v>
      </c>
      <c r="G111" s="426"/>
      <c r="H111" s="46">
        <v>0</v>
      </c>
    </row>
    <row r="112" spans="1:8">
      <c r="B112" s="204" t="s">
        <v>268</v>
      </c>
      <c r="C112" s="425" t="s">
        <v>337</v>
      </c>
      <c r="D112" s="425"/>
      <c r="E112" s="425"/>
      <c r="F112" s="425" t="s">
        <v>344</v>
      </c>
      <c r="G112" s="426"/>
      <c r="H112" s="46">
        <v>0</v>
      </c>
    </row>
  </sheetData>
  <sheetProtection password="C640" sheet="1" objects="1" scenarios="1"/>
  <customSheetViews>
    <customSheetView guid="{D8F4F400-1F22-11D7-BD75-C829030E573B}" showRuler="0" topLeftCell="A21">
      <selection activeCell="G58" sqref="G58:H58"/>
      <pageSetup paperSize="0" orientation="portrait" horizontalDpi="4294967292" verticalDpi="4294967292"/>
    </customSheetView>
  </customSheetViews>
  <mergeCells count="22">
    <mergeCell ref="F108:G108"/>
    <mergeCell ref="C68:D68"/>
    <mergeCell ref="A3:C3"/>
    <mergeCell ref="C2:D2"/>
    <mergeCell ref="C36:D36"/>
    <mergeCell ref="C37:D37"/>
    <mergeCell ref="C57:D57"/>
    <mergeCell ref="C58:D58"/>
    <mergeCell ref="C108:E108"/>
    <mergeCell ref="C97:D97"/>
    <mergeCell ref="C98:D98"/>
    <mergeCell ref="C67:D67"/>
    <mergeCell ref="D66:E66"/>
    <mergeCell ref="D96:E96"/>
    <mergeCell ref="F109:G109"/>
    <mergeCell ref="F110:G110"/>
    <mergeCell ref="F111:G111"/>
    <mergeCell ref="F112:G112"/>
    <mergeCell ref="C109:E109"/>
    <mergeCell ref="C110:E110"/>
    <mergeCell ref="C111:E111"/>
    <mergeCell ref="C112:E112"/>
  </mergeCells>
  <phoneticPr fontId="26" type="noConversion"/>
  <pageMargins left="0.42" right="0.42" top="0.48" bottom="0.46" header="0.5" footer="0.5"/>
  <pageSetup orientation="portrait" horizontalDpi="4294967292" verticalDpi="4294967292"/>
  <rowBreaks count="1" manualBreakCount="1">
    <brk id="47" max="6" man="1"/>
  </row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zoomScale="150" zoomScaleSheetLayoutView="100" workbookViewId="0">
      <selection activeCell="L26" sqref="L26"/>
    </sheetView>
  </sheetViews>
  <sheetFormatPr baseColWidth="10" defaultRowHeight="13" x14ac:dyDescent="0"/>
  <cols>
    <col min="1" max="1" width="10.83203125" style="1"/>
    <col min="2" max="2" width="8.5" style="1" customWidth="1"/>
    <col min="3" max="3" width="9.5" style="1" customWidth="1"/>
    <col min="4" max="4" width="11.83203125" style="1" customWidth="1"/>
    <col min="5" max="5" width="9.6640625" style="7" customWidth="1"/>
    <col min="6" max="6" width="1.5" style="1" customWidth="1"/>
    <col min="7" max="7" width="5.5" style="3" customWidth="1"/>
    <col min="8" max="8" width="10.5" style="1" customWidth="1"/>
    <col min="9" max="9" width="2.33203125" style="2" customWidth="1"/>
    <col min="10" max="10" width="12.1640625" style="1" bestFit="1" customWidth="1"/>
    <col min="11" max="11" width="4.1640625" customWidth="1"/>
    <col min="12" max="12" width="2" customWidth="1"/>
    <col min="23" max="16384" width="10.83203125" style="1"/>
  </cols>
  <sheetData>
    <row r="1" spans="1:22" ht="28">
      <c r="A1" s="113" t="s">
        <v>57</v>
      </c>
      <c r="B1" s="54"/>
      <c r="C1" s="54"/>
      <c r="D1" s="54"/>
      <c r="E1" s="150"/>
      <c r="F1" s="335" t="s">
        <v>453</v>
      </c>
      <c r="G1" s="336"/>
      <c r="H1" s="336"/>
      <c r="I1" s="336"/>
      <c r="J1" s="336"/>
    </row>
    <row r="2" spans="1:22" s="17" customFormat="1">
      <c r="A2" s="57" t="s">
        <v>136</v>
      </c>
      <c r="B2" s="337" t="str">
        <f>INFORMATION!B3</f>
        <v xml:space="preserve"> </v>
      </c>
      <c r="C2" s="338"/>
      <c r="D2" s="339"/>
      <c r="E2" s="184"/>
      <c r="F2" s="342" t="s">
        <v>390</v>
      </c>
      <c r="G2" s="342"/>
      <c r="H2" s="342"/>
      <c r="I2" s="78"/>
      <c r="J2" s="18" t="e">
        <f>INFORMATION!B5*INFORMATION!F5</f>
        <v>#VALUE!</v>
      </c>
      <c r="K2"/>
      <c r="L2"/>
      <c r="M2"/>
      <c r="N2"/>
      <c r="O2"/>
      <c r="P2" s="8"/>
      <c r="Q2" s="8"/>
      <c r="R2" s="8"/>
      <c r="S2" s="8"/>
      <c r="T2" s="8"/>
      <c r="U2" s="8"/>
      <c r="V2" s="8"/>
    </row>
    <row r="3" spans="1:22" s="17" customFormat="1">
      <c r="A3" s="57" t="s">
        <v>137</v>
      </c>
      <c r="B3" s="337" t="str">
        <f>INFORMATION!F3</f>
        <v xml:space="preserve"> </v>
      </c>
      <c r="C3" s="340"/>
      <c r="D3" s="341"/>
      <c r="E3" s="184"/>
      <c r="F3" s="342" t="s">
        <v>444</v>
      </c>
      <c r="G3" s="342"/>
      <c r="H3" s="342"/>
      <c r="I3" s="72"/>
      <c r="J3" s="21" t="e">
        <f>INFORMATION!B9</f>
        <v>#VALUE!</v>
      </c>
      <c r="K3"/>
      <c r="L3"/>
      <c r="M3"/>
      <c r="N3"/>
      <c r="O3"/>
      <c r="P3" s="8"/>
      <c r="Q3" s="8"/>
      <c r="R3" s="8"/>
      <c r="S3" s="8"/>
      <c r="T3" s="8"/>
      <c r="U3" s="8"/>
      <c r="V3" s="8"/>
    </row>
    <row r="4" spans="1:22" s="17" customFormat="1">
      <c r="A4" s="343" t="s">
        <v>250</v>
      </c>
      <c r="B4" s="343"/>
      <c r="C4" s="343"/>
      <c r="D4" s="18">
        <f>'MONTHLY LIVING'!D3</f>
        <v>0</v>
      </c>
      <c r="F4" s="342" t="s">
        <v>127</v>
      </c>
      <c r="G4" s="342"/>
      <c r="H4" s="342"/>
      <c r="I4" s="185"/>
      <c r="J4" s="21">
        <f>INFORMATION!F9</f>
        <v>0</v>
      </c>
      <c r="K4"/>
      <c r="L4"/>
      <c r="M4"/>
      <c r="N4"/>
      <c r="O4"/>
      <c r="P4" s="8"/>
      <c r="Q4" s="8"/>
      <c r="R4" s="8"/>
      <c r="S4" s="8"/>
      <c r="T4" s="8"/>
      <c r="U4" s="8"/>
      <c r="V4" s="8"/>
    </row>
    <row r="5" spans="1:22" s="17" customFormat="1">
      <c r="A5" s="57"/>
      <c r="B5" s="72"/>
      <c r="C5" s="72"/>
      <c r="D5" s="51"/>
      <c r="E5" s="51"/>
      <c r="K5"/>
      <c r="L5"/>
      <c r="M5"/>
      <c r="N5"/>
      <c r="O5"/>
      <c r="P5" s="8"/>
      <c r="Q5" s="8"/>
      <c r="R5" s="8"/>
      <c r="S5" s="8"/>
      <c r="T5" s="8"/>
      <c r="U5" s="8"/>
      <c r="V5" s="8"/>
    </row>
    <row r="6" spans="1:22">
      <c r="A6" s="344" t="s">
        <v>449</v>
      </c>
      <c r="B6" s="336"/>
      <c r="C6" s="336"/>
      <c r="D6" s="336"/>
      <c r="E6" s="336"/>
      <c r="F6" s="54"/>
      <c r="G6" s="55"/>
      <c r="H6" s="54"/>
      <c r="I6" s="56"/>
      <c r="J6" s="54"/>
      <c r="P6" s="9"/>
      <c r="Q6" s="9"/>
      <c r="R6" s="9"/>
      <c r="S6" s="9"/>
      <c r="T6" s="9"/>
      <c r="U6" s="9"/>
      <c r="V6" s="9"/>
    </row>
    <row r="7" spans="1:22">
      <c r="A7" s="345"/>
      <c r="B7" s="345"/>
      <c r="C7" s="345"/>
      <c r="D7" s="345"/>
      <c r="E7" s="345"/>
      <c r="F7" s="54"/>
      <c r="G7" s="346" t="s">
        <v>452</v>
      </c>
      <c r="H7" s="346"/>
      <c r="I7" s="346"/>
      <c r="J7" s="346"/>
      <c r="P7" s="9"/>
      <c r="Q7" s="9"/>
      <c r="R7" s="9"/>
      <c r="S7" s="9"/>
      <c r="T7" s="9"/>
      <c r="U7" s="9"/>
      <c r="V7" s="9"/>
    </row>
    <row r="8" spans="1:22">
      <c r="A8" s="186"/>
      <c r="B8" s="151"/>
      <c r="C8" s="152" t="s">
        <v>273</v>
      </c>
      <c r="D8" s="151"/>
      <c r="E8" s="153"/>
      <c r="F8" s="54"/>
      <c r="G8" s="51"/>
      <c r="H8" s="51"/>
      <c r="I8" s="51"/>
      <c r="J8" s="51"/>
      <c r="P8" s="9"/>
      <c r="Q8" s="9"/>
      <c r="R8" s="9"/>
      <c r="S8" s="9"/>
      <c r="T8" s="9"/>
      <c r="U8" s="9"/>
      <c r="V8" s="9"/>
    </row>
    <row r="9" spans="1:22" ht="15">
      <c r="A9" s="54"/>
      <c r="B9" s="54"/>
      <c r="C9" s="54"/>
      <c r="D9" s="54"/>
      <c r="E9" s="154" t="s">
        <v>164</v>
      </c>
      <c r="F9" s="68"/>
      <c r="G9" s="69"/>
      <c r="H9" s="68"/>
      <c r="I9" s="187" t="s">
        <v>163</v>
      </c>
      <c r="J9" s="68"/>
    </row>
    <row r="10" spans="1:22" s="17" customFormat="1">
      <c r="A10" s="57" t="s">
        <v>13</v>
      </c>
      <c r="B10" s="72"/>
      <c r="C10" s="72"/>
      <c r="D10" s="72"/>
      <c r="E10" s="22" t="e">
        <f>(INFORMATION!G31+INFORMATION!G34)/INFORMATION!C30</f>
        <v>#DIV/0!</v>
      </c>
      <c r="F10" s="72"/>
      <c r="G10" s="333" t="s">
        <v>135</v>
      </c>
      <c r="H10" s="334"/>
      <c r="I10" s="159"/>
      <c r="J10" s="188" t="e">
        <f>E10*0.17</f>
        <v>#DIV/0!</v>
      </c>
      <c r="K10"/>
      <c r="L10"/>
      <c r="M10"/>
      <c r="N10"/>
      <c r="O10"/>
      <c r="P10" s="8"/>
      <c r="Q10" s="8"/>
      <c r="R10" s="8"/>
      <c r="S10" s="8"/>
      <c r="T10" s="8"/>
      <c r="U10" s="8"/>
      <c r="V10" s="8"/>
    </row>
    <row r="11" spans="1:22" s="17" customFormat="1">
      <c r="A11" s="57" t="s">
        <v>14</v>
      </c>
      <c r="B11" s="72"/>
      <c r="C11" s="72"/>
      <c r="D11" s="72"/>
      <c r="E11" s="22" t="e">
        <f>(INFORMATION!G35+INFORMATION!G30)/INFORMATION!C30</f>
        <v>#DIV/0!</v>
      </c>
      <c r="F11" s="72"/>
      <c r="G11" s="333" t="s">
        <v>135</v>
      </c>
      <c r="H11" s="334"/>
      <c r="I11" s="159"/>
      <c r="J11" s="188" t="e">
        <f t="shared" ref="J11:J23" si="0">E11*0.17</f>
        <v>#DIV/0!</v>
      </c>
      <c r="K11"/>
      <c r="L11"/>
      <c r="M11"/>
      <c r="N11"/>
      <c r="O11"/>
      <c r="P11" s="8"/>
      <c r="Q11" s="8"/>
      <c r="R11" s="8"/>
      <c r="S11" s="8"/>
      <c r="T11" s="8"/>
      <c r="U11" s="8"/>
      <c r="V11" s="8"/>
    </row>
    <row r="12" spans="1:22" s="17" customFormat="1">
      <c r="A12" s="57" t="s">
        <v>15</v>
      </c>
      <c r="B12" s="57"/>
      <c r="C12" s="57"/>
      <c r="D12" s="72"/>
      <c r="E12" s="22">
        <f>'MONTHLY LIVING'!F8</f>
        <v>0</v>
      </c>
      <c r="F12" s="72"/>
      <c r="G12" s="333" t="s">
        <v>135</v>
      </c>
      <c r="H12" s="334"/>
      <c r="I12" s="159"/>
      <c r="J12" s="188">
        <f t="shared" si="0"/>
        <v>0</v>
      </c>
      <c r="K12"/>
      <c r="L12"/>
      <c r="M12"/>
      <c r="N12"/>
      <c r="O12"/>
      <c r="P12" s="8"/>
      <c r="Q12" s="8"/>
      <c r="R12" s="8"/>
      <c r="S12" s="8"/>
      <c r="T12" s="8"/>
      <c r="U12" s="8"/>
      <c r="V12" s="8"/>
    </row>
    <row r="13" spans="1:22" s="17" customFormat="1">
      <c r="A13" s="57" t="s">
        <v>16</v>
      </c>
      <c r="B13" s="57"/>
      <c r="C13" s="57"/>
      <c r="D13" s="72"/>
      <c r="E13" s="22">
        <f>'MONTHLY LIVING'!F11</f>
        <v>0</v>
      </c>
      <c r="F13" s="72"/>
      <c r="G13" s="333" t="s">
        <v>135</v>
      </c>
      <c r="H13" s="334"/>
      <c r="I13" s="159"/>
      <c r="J13" s="188">
        <f t="shared" si="0"/>
        <v>0</v>
      </c>
      <c r="K13"/>
      <c r="L13"/>
      <c r="M13"/>
      <c r="N13"/>
      <c r="O13"/>
      <c r="P13" s="8"/>
      <c r="Q13" s="8"/>
      <c r="R13" s="8"/>
      <c r="S13" s="8"/>
      <c r="T13" s="8"/>
      <c r="U13" s="8"/>
      <c r="V13" s="8"/>
    </row>
    <row r="14" spans="1:22" s="17" customFormat="1">
      <c r="A14" s="57" t="s">
        <v>102</v>
      </c>
      <c r="B14" s="57"/>
      <c r="C14" s="57"/>
      <c r="D14" s="72"/>
      <c r="E14" s="22">
        <f>'MONTHLY LIVING'!F14</f>
        <v>0</v>
      </c>
      <c r="F14" s="72"/>
      <c r="G14" s="333" t="s">
        <v>135</v>
      </c>
      <c r="H14" s="334"/>
      <c r="I14" s="159"/>
      <c r="J14" s="188">
        <f t="shared" si="0"/>
        <v>0</v>
      </c>
      <c r="K14"/>
      <c r="L14"/>
      <c r="M14"/>
      <c r="N14"/>
      <c r="O14"/>
      <c r="P14" s="8"/>
      <c r="Q14" s="8"/>
      <c r="R14" s="8"/>
      <c r="S14" s="8"/>
      <c r="T14" s="8"/>
      <c r="U14" s="8"/>
      <c r="V14" s="8"/>
    </row>
    <row r="15" spans="1:22" s="17" customFormat="1">
      <c r="A15" s="57" t="s">
        <v>103</v>
      </c>
      <c r="B15" s="57"/>
      <c r="C15" s="57"/>
      <c r="D15" s="72"/>
      <c r="E15" s="22">
        <f>'MONTHLY LIVING'!F17</f>
        <v>40</v>
      </c>
      <c r="F15" s="72"/>
      <c r="G15" s="333" t="s">
        <v>135</v>
      </c>
      <c r="H15" s="334"/>
      <c r="I15" s="159"/>
      <c r="J15" s="188">
        <f t="shared" si="0"/>
        <v>6.8000000000000007</v>
      </c>
      <c r="K15"/>
      <c r="L15"/>
      <c r="M15"/>
      <c r="N15"/>
      <c r="O15"/>
      <c r="P15" s="8"/>
      <c r="Q15" s="8"/>
      <c r="R15" s="8"/>
      <c r="S15" s="8"/>
      <c r="T15" s="8"/>
      <c r="U15" s="8"/>
      <c r="V15" s="8"/>
    </row>
    <row r="16" spans="1:22" s="17" customFormat="1">
      <c r="A16" s="57" t="s">
        <v>104</v>
      </c>
      <c r="B16" s="57"/>
      <c r="C16" s="57"/>
      <c r="D16" s="72"/>
      <c r="E16" s="22" t="e">
        <f>'MONTHLY LIVING'!F21</f>
        <v>#DIV/0!</v>
      </c>
      <c r="F16" s="72"/>
      <c r="G16" s="333" t="s">
        <v>135</v>
      </c>
      <c r="H16" s="334"/>
      <c r="I16" s="159"/>
      <c r="J16" s="188" t="e">
        <f t="shared" si="0"/>
        <v>#DIV/0!</v>
      </c>
      <c r="K16"/>
      <c r="L16"/>
      <c r="M16"/>
      <c r="N16"/>
      <c r="O16"/>
      <c r="P16" s="8"/>
      <c r="Q16" s="8"/>
      <c r="R16" s="8"/>
      <c r="S16" s="8"/>
      <c r="T16" s="8"/>
      <c r="U16" s="8"/>
      <c r="V16" s="8"/>
    </row>
    <row r="17" spans="1:22" s="17" customFormat="1">
      <c r="A17" s="57" t="s">
        <v>105</v>
      </c>
      <c r="B17" s="57"/>
      <c r="C17" s="57"/>
      <c r="D17" s="72"/>
      <c r="E17" s="22" t="e">
        <f>INFORMATION!G42</f>
        <v>#VALUE!</v>
      </c>
      <c r="F17" s="72"/>
      <c r="G17" s="333" t="s">
        <v>135</v>
      </c>
      <c r="H17" s="334"/>
      <c r="I17" s="159"/>
      <c r="J17" s="188" t="e">
        <f t="shared" si="0"/>
        <v>#VALUE!</v>
      </c>
      <c r="K17"/>
      <c r="L17"/>
      <c r="M17"/>
      <c r="N17"/>
      <c r="O17"/>
      <c r="P17" s="8"/>
      <c r="Q17" s="8"/>
      <c r="R17" s="8"/>
      <c r="S17" s="8"/>
      <c r="T17" s="8"/>
      <c r="U17" s="8"/>
      <c r="V17" s="8"/>
    </row>
    <row r="18" spans="1:22" s="17" customFormat="1">
      <c r="A18" s="57" t="s">
        <v>106</v>
      </c>
      <c r="B18" s="57"/>
      <c r="C18" s="57"/>
      <c r="D18" s="72"/>
      <c r="E18" s="22">
        <f>INFORMATION!C45</f>
        <v>0</v>
      </c>
      <c r="F18" s="72"/>
      <c r="G18" s="333" t="s">
        <v>135</v>
      </c>
      <c r="H18" s="334"/>
      <c r="I18" s="159"/>
      <c r="J18" s="188">
        <f t="shared" si="0"/>
        <v>0</v>
      </c>
      <c r="K18"/>
      <c r="L18"/>
      <c r="M18"/>
      <c r="N18"/>
      <c r="O18"/>
      <c r="P18" s="8"/>
      <c r="Q18" s="8"/>
      <c r="R18" s="8"/>
      <c r="S18" s="8"/>
      <c r="T18" s="8"/>
      <c r="U18" s="8"/>
      <c r="V18" s="8"/>
    </row>
    <row r="19" spans="1:22" s="17" customFormat="1">
      <c r="A19" s="57" t="s">
        <v>107</v>
      </c>
      <c r="B19" s="57"/>
      <c r="C19" s="72"/>
      <c r="D19" s="72"/>
      <c r="E19" s="22">
        <f>'MONTHLY LIVING'!F30</f>
        <v>0</v>
      </c>
      <c r="F19" s="72"/>
      <c r="G19" s="333" t="s">
        <v>135</v>
      </c>
      <c r="H19" s="334"/>
      <c r="I19" s="159"/>
      <c r="J19" s="188">
        <f t="shared" si="0"/>
        <v>0</v>
      </c>
      <c r="K19"/>
      <c r="L19"/>
      <c r="M19"/>
      <c r="N19"/>
      <c r="O19"/>
      <c r="P19" s="8"/>
      <c r="Q19" s="8"/>
      <c r="R19" s="8"/>
      <c r="S19" s="8"/>
      <c r="T19" s="8"/>
      <c r="U19" s="8"/>
      <c r="V19" s="8"/>
    </row>
    <row r="20" spans="1:22" s="17" customFormat="1">
      <c r="A20" s="57" t="s">
        <v>108</v>
      </c>
      <c r="B20" s="57"/>
      <c r="C20" s="72"/>
      <c r="D20" s="72"/>
      <c r="E20" s="22" t="e">
        <f>INFORMATION!G41</f>
        <v>#DIV/0!</v>
      </c>
      <c r="F20" s="72"/>
      <c r="G20" s="333" t="s">
        <v>135</v>
      </c>
      <c r="H20" s="334"/>
      <c r="I20" s="159"/>
      <c r="J20" s="188" t="e">
        <f t="shared" si="0"/>
        <v>#DIV/0!</v>
      </c>
      <c r="K20"/>
      <c r="L20"/>
      <c r="M20"/>
      <c r="N20"/>
      <c r="O20"/>
      <c r="P20" s="8"/>
      <c r="Q20" s="8"/>
      <c r="R20" s="8"/>
      <c r="S20" s="8"/>
      <c r="T20" s="8"/>
      <c r="U20" s="8"/>
      <c r="V20" s="8"/>
    </row>
    <row r="21" spans="1:22" s="17" customFormat="1">
      <c r="A21" s="57" t="s">
        <v>94</v>
      </c>
      <c r="B21" s="57"/>
      <c r="C21" s="72"/>
      <c r="D21" s="72"/>
      <c r="E21" s="22">
        <f>'MONTHLY LIVING'!F42</f>
        <v>0</v>
      </c>
      <c r="F21" s="72"/>
      <c r="G21" s="333" t="s">
        <v>135</v>
      </c>
      <c r="H21" s="334"/>
      <c r="I21" s="159"/>
      <c r="J21" s="188">
        <f t="shared" si="0"/>
        <v>0</v>
      </c>
      <c r="K21"/>
      <c r="L21"/>
      <c r="M21"/>
      <c r="N21"/>
      <c r="O21"/>
      <c r="P21" s="8"/>
      <c r="Q21" s="8"/>
      <c r="R21" s="8"/>
      <c r="S21" s="8"/>
      <c r="T21" s="8"/>
      <c r="U21" s="8"/>
      <c r="V21" s="8"/>
    </row>
    <row r="22" spans="1:22" s="17" customFormat="1">
      <c r="A22" s="57"/>
      <c r="B22" s="57"/>
      <c r="C22" s="72"/>
      <c r="D22" s="72"/>
      <c r="E22" s="77"/>
      <c r="F22" s="72"/>
      <c r="G22" s="51"/>
      <c r="H22" s="51"/>
      <c r="I22" s="51"/>
      <c r="J22" s="51"/>
      <c r="K22"/>
      <c r="L22"/>
      <c r="M22"/>
      <c r="N22"/>
      <c r="O22"/>
      <c r="P22" s="8"/>
      <c r="Q22" s="8"/>
      <c r="R22" s="8"/>
      <c r="S22" s="8"/>
      <c r="T22" s="8"/>
      <c r="U22" s="8"/>
      <c r="V22" s="8"/>
    </row>
    <row r="23" spans="1:22" s="17" customFormat="1">
      <c r="A23" s="189" t="s">
        <v>304</v>
      </c>
      <c r="B23" s="157"/>
      <c r="C23" s="158"/>
      <c r="D23" s="72"/>
      <c r="E23" s="22" t="e">
        <f>E10+E11+E12+E13+E14+E15+E16+E17+E18+E19+E20+E21</f>
        <v>#DIV/0!</v>
      </c>
      <c r="F23" s="72"/>
      <c r="G23" s="190" t="s">
        <v>248</v>
      </c>
      <c r="H23" s="159"/>
      <c r="I23" s="159"/>
      <c r="J23" s="188" t="e">
        <f t="shared" si="0"/>
        <v>#DIV/0!</v>
      </c>
      <c r="K23"/>
      <c r="L23"/>
      <c r="M23"/>
      <c r="N23"/>
      <c r="O23"/>
      <c r="P23" s="8"/>
      <c r="Q23" s="8"/>
      <c r="R23" s="8"/>
      <c r="S23" s="8"/>
      <c r="T23" s="8"/>
      <c r="U23" s="8"/>
      <c r="V23" s="8"/>
    </row>
    <row r="24" spans="1:22" s="17" customFormat="1">
      <c r="A24" s="72"/>
      <c r="B24" s="72"/>
      <c r="C24" s="72"/>
      <c r="D24" s="72"/>
      <c r="E24" s="23"/>
      <c r="F24" s="72"/>
      <c r="G24" s="57"/>
      <c r="H24" s="72"/>
      <c r="I24" s="78" t="s">
        <v>163</v>
      </c>
      <c r="J24" s="72"/>
      <c r="K24"/>
      <c r="L24"/>
      <c r="M24"/>
      <c r="N24"/>
      <c r="O24"/>
      <c r="P24" s="8"/>
      <c r="Q24" s="8"/>
      <c r="R24" s="8"/>
      <c r="S24" s="8"/>
      <c r="T24" s="8"/>
      <c r="U24" s="8"/>
      <c r="V24" s="8"/>
    </row>
    <row r="25" spans="1:22" s="17" customFormat="1">
      <c r="A25" s="347" t="s">
        <v>361</v>
      </c>
      <c r="B25" s="338"/>
      <c r="C25" s="338"/>
      <c r="D25" s="338"/>
      <c r="E25" s="339"/>
      <c r="F25" s="72"/>
      <c r="G25" s="443" t="s">
        <v>27</v>
      </c>
      <c r="H25" s="339"/>
      <c r="I25" s="78" t="s">
        <v>28</v>
      </c>
      <c r="J25" s="191" t="e">
        <f>J3*0.17</f>
        <v>#VALUE!</v>
      </c>
      <c r="K25"/>
      <c r="L25"/>
      <c r="M25"/>
      <c r="N25"/>
      <c r="O25"/>
      <c r="P25" s="8"/>
      <c r="Q25" s="8"/>
      <c r="R25" s="8"/>
      <c r="S25" s="8"/>
      <c r="T25" s="8"/>
      <c r="U25" s="8"/>
      <c r="V25" s="8"/>
    </row>
    <row r="26" spans="1:22" s="17" customFormat="1">
      <c r="A26" s="72"/>
      <c r="B26" s="72"/>
      <c r="C26" s="72"/>
      <c r="D26" s="72"/>
      <c r="E26" s="23"/>
      <c r="F26" s="72"/>
      <c r="G26" s="57"/>
      <c r="H26" s="72"/>
      <c r="I26" s="78" t="s">
        <v>163</v>
      </c>
      <c r="J26" s="72"/>
      <c r="K26"/>
      <c r="L26"/>
      <c r="M26"/>
      <c r="N26"/>
      <c r="O26"/>
      <c r="P26" s="8"/>
      <c r="Q26" s="8"/>
      <c r="R26" s="8"/>
      <c r="S26" s="8"/>
      <c r="T26" s="8"/>
      <c r="U26" s="8"/>
      <c r="V26" s="8"/>
    </row>
    <row r="27" spans="1:22" s="17" customFormat="1">
      <c r="A27" s="348" t="s">
        <v>327</v>
      </c>
      <c r="B27" s="349"/>
      <c r="C27" s="349"/>
      <c r="D27" s="350"/>
      <c r="E27" s="25">
        <f>'MONTHLY LIVING'!F50+'MONTHLY LIVING'!F59+'MONTHLY LIVING'!F71+'MONTHLY LIVING'!F78+'MONTHLY LIVING'!F83</f>
        <v>0</v>
      </c>
      <c r="F27" s="72"/>
      <c r="G27" s="443" t="s">
        <v>32</v>
      </c>
      <c r="H27" s="339"/>
      <c r="I27" s="78" t="s">
        <v>28</v>
      </c>
      <c r="J27" s="191" t="e">
        <f>J25-E27</f>
        <v>#VALUE!</v>
      </c>
      <c r="K27"/>
      <c r="L27"/>
      <c r="M27"/>
      <c r="N27"/>
      <c r="O27"/>
      <c r="P27" s="8"/>
      <c r="Q27" s="8"/>
      <c r="R27" s="8"/>
      <c r="S27" s="8"/>
      <c r="T27" s="8"/>
      <c r="U27" s="8"/>
      <c r="V27" s="8"/>
    </row>
    <row r="28" spans="1:22" s="17" customFormat="1" ht="14" thickBot="1">
      <c r="A28" s="72"/>
      <c r="B28" s="72"/>
      <c r="C28" s="72"/>
      <c r="D28" s="72"/>
      <c r="E28" s="23"/>
      <c r="F28" s="72"/>
      <c r="G28" s="57"/>
      <c r="H28" s="72"/>
      <c r="I28" s="78"/>
      <c r="J28" s="72"/>
      <c r="K28"/>
      <c r="L28"/>
      <c r="M28"/>
      <c r="N28"/>
      <c r="O28"/>
      <c r="P28" s="8"/>
      <c r="Q28" s="8"/>
      <c r="R28" s="8"/>
      <c r="S28" s="8"/>
      <c r="T28" s="8"/>
      <c r="U28" s="8"/>
      <c r="V28" s="8"/>
    </row>
    <row r="29" spans="1:22" s="17" customFormat="1" ht="13" customHeight="1" thickTop="1">
      <c r="A29" s="348" t="s">
        <v>218</v>
      </c>
      <c r="B29" s="349"/>
      <c r="C29" s="349"/>
      <c r="D29" s="350"/>
      <c r="E29" s="25">
        <f>J48</f>
        <v>0</v>
      </c>
      <c r="F29" s="72"/>
      <c r="G29" s="454" t="s">
        <v>401</v>
      </c>
      <c r="H29" s="455"/>
      <c r="I29" s="455"/>
      <c r="J29" s="456"/>
      <c r="K29"/>
      <c r="L29"/>
      <c r="M29"/>
      <c r="N29"/>
      <c r="O29"/>
      <c r="P29" s="8"/>
      <c r="Q29" s="8"/>
      <c r="R29" s="8"/>
      <c r="S29" s="8"/>
      <c r="T29" s="8"/>
      <c r="U29" s="8"/>
      <c r="V29" s="8"/>
    </row>
    <row r="30" spans="1:22" s="17" customFormat="1">
      <c r="A30" s="72"/>
      <c r="B30" s="72"/>
      <c r="C30" s="72"/>
      <c r="D30" s="72"/>
      <c r="E30" s="72"/>
      <c r="F30" s="58"/>
      <c r="G30" s="457"/>
      <c r="H30" s="458"/>
      <c r="I30" s="458"/>
      <c r="J30" s="459"/>
      <c r="K30"/>
      <c r="L30"/>
      <c r="M30"/>
      <c r="N30"/>
      <c r="O30"/>
      <c r="P30" s="8"/>
      <c r="Q30" s="8"/>
      <c r="R30" s="8"/>
      <c r="S30" s="8"/>
      <c r="T30" s="8"/>
      <c r="U30" s="8"/>
      <c r="V30" s="8"/>
    </row>
    <row r="31" spans="1:22">
      <c r="A31" s="361" t="s">
        <v>364</v>
      </c>
      <c r="B31" s="362"/>
      <c r="C31" s="362"/>
      <c r="D31" s="363"/>
      <c r="E31" s="183" t="e">
        <f>E23+E27+J41+E29</f>
        <v>#DIV/0!</v>
      </c>
      <c r="F31" s="51"/>
      <c r="G31" s="457"/>
      <c r="H31" s="458"/>
      <c r="I31" s="458"/>
      <c r="J31" s="459"/>
    </row>
    <row r="32" spans="1:22">
      <c r="A32" s="58"/>
      <c r="B32" s="58"/>
      <c r="C32" s="58"/>
      <c r="D32" s="58"/>
      <c r="E32" s="58"/>
      <c r="F32" s="51"/>
      <c r="G32" s="460"/>
      <c r="H32" s="461"/>
      <c r="I32" s="461"/>
      <c r="J32" s="462"/>
    </row>
    <row r="33" spans="1:22" ht="14" thickBot="1">
      <c r="A33" s="364" t="s">
        <v>362</v>
      </c>
      <c r="B33" s="365"/>
      <c r="C33" s="365"/>
      <c r="D33" s="350"/>
      <c r="E33" s="192" t="e">
        <f>J3-E31</f>
        <v>#VALUE!</v>
      </c>
      <c r="F33" s="51"/>
      <c r="G33" s="463"/>
      <c r="H33" s="464"/>
      <c r="I33" s="464"/>
      <c r="J33" s="465"/>
    </row>
    <row r="34" spans="1:22" ht="14" thickTop="1">
      <c r="A34" s="51"/>
      <c r="B34" s="51"/>
      <c r="C34" s="51"/>
      <c r="D34" s="51"/>
      <c r="E34" s="51"/>
      <c r="F34" s="51"/>
      <c r="G34" s="51"/>
      <c r="H34" s="51"/>
      <c r="I34" s="51"/>
      <c r="J34" s="51"/>
    </row>
    <row r="35" spans="1:22" ht="15">
      <c r="A35" s="452" t="s">
        <v>365</v>
      </c>
      <c r="B35" s="453"/>
      <c r="C35" s="453"/>
      <c r="D35" s="453"/>
      <c r="E35" s="453"/>
      <c r="F35" s="453"/>
      <c r="G35" s="453"/>
      <c r="H35" s="453"/>
      <c r="I35" s="51"/>
      <c r="J35" s="51"/>
    </row>
    <row r="36" spans="1:22" s="3" customFormat="1">
      <c r="A36" s="440" t="s">
        <v>234</v>
      </c>
      <c r="B36" s="441"/>
      <c r="C36" s="442"/>
      <c r="D36" s="440" t="s">
        <v>235</v>
      </c>
      <c r="E36" s="441"/>
      <c r="F36" s="441"/>
      <c r="G36" s="441"/>
      <c r="H36" s="442"/>
      <c r="I36" s="193"/>
      <c r="J36" s="194" t="s">
        <v>282</v>
      </c>
      <c r="K36"/>
      <c r="L36"/>
      <c r="M36"/>
      <c r="N36"/>
      <c r="O36"/>
      <c r="P36" s="108"/>
      <c r="Q36" s="108"/>
      <c r="R36" s="108"/>
      <c r="S36" s="108"/>
      <c r="T36" s="108"/>
      <c r="U36" s="108"/>
      <c r="V36" s="108"/>
    </row>
    <row r="37" spans="1:22">
      <c r="A37" s="446" t="str">
        <f>'MONTHLY LIVING'!C109</f>
        <v xml:space="preserve"> </v>
      </c>
      <c r="B37" s="447"/>
      <c r="C37" s="448"/>
      <c r="D37" s="473" t="str">
        <f>'MONTHLY LIVING'!F109</f>
        <v xml:space="preserve"> </v>
      </c>
      <c r="E37" s="473"/>
      <c r="F37" s="473"/>
      <c r="G37" s="473"/>
      <c r="H37" s="473"/>
      <c r="I37" s="51"/>
      <c r="J37" s="195">
        <f>'MONTHLY LIVING'!H109</f>
        <v>0</v>
      </c>
    </row>
    <row r="38" spans="1:22">
      <c r="A38" s="449" t="str">
        <f>'MONTHLY LIVING'!C110</f>
        <v xml:space="preserve"> </v>
      </c>
      <c r="B38" s="450"/>
      <c r="C38" s="451"/>
      <c r="D38" s="472" t="str">
        <f>'MONTHLY LIVING'!F110</f>
        <v xml:space="preserve"> </v>
      </c>
      <c r="E38" s="472"/>
      <c r="F38" s="472"/>
      <c r="G38" s="472"/>
      <c r="H38" s="472"/>
      <c r="I38" s="51"/>
      <c r="J38" s="196">
        <f>'MONTHLY LIVING'!H110</f>
        <v>0</v>
      </c>
    </row>
    <row r="39" spans="1:22">
      <c r="A39" s="475" t="str">
        <f>'MONTHLY LIVING'!C111</f>
        <v xml:space="preserve"> </v>
      </c>
      <c r="B39" s="475"/>
      <c r="C39" s="475"/>
      <c r="D39" s="473" t="str">
        <f>'MONTHLY LIVING'!F111</f>
        <v xml:space="preserve"> </v>
      </c>
      <c r="E39" s="473"/>
      <c r="F39" s="473"/>
      <c r="G39" s="473"/>
      <c r="H39" s="473"/>
      <c r="I39" s="51"/>
      <c r="J39" s="195">
        <f>'MONTHLY LIVING'!H111</f>
        <v>0</v>
      </c>
    </row>
    <row r="40" spans="1:22">
      <c r="A40" s="476" t="str">
        <f>'MONTHLY LIVING'!C112</f>
        <v xml:space="preserve"> </v>
      </c>
      <c r="B40" s="476"/>
      <c r="C40" s="476"/>
      <c r="D40" s="472" t="str">
        <f>'MONTHLY LIVING'!F112</f>
        <v xml:space="preserve"> </v>
      </c>
      <c r="E40" s="472"/>
      <c r="F40" s="472"/>
      <c r="G40" s="472"/>
      <c r="H40" s="472"/>
      <c r="I40" s="51"/>
      <c r="J40" s="196">
        <f>'MONTHLY LIVING'!H112</f>
        <v>0</v>
      </c>
    </row>
    <row r="41" spans="1:22">
      <c r="A41" s="197"/>
      <c r="B41" s="197"/>
      <c r="C41" s="197"/>
      <c r="D41" s="198" t="s">
        <v>337</v>
      </c>
      <c r="E41" s="198"/>
      <c r="F41" s="198"/>
      <c r="G41" s="198"/>
      <c r="H41" s="349" t="s">
        <v>363</v>
      </c>
      <c r="I41" s="346"/>
      <c r="J41" s="14">
        <f>SUM(J37:J40)</f>
        <v>0</v>
      </c>
    </row>
    <row r="42" spans="1:22" ht="16">
      <c r="A42" s="199" t="s">
        <v>11</v>
      </c>
      <c r="B42" s="51"/>
      <c r="C42" s="51"/>
      <c r="D42" s="365" t="s">
        <v>366</v>
      </c>
      <c r="E42" s="365"/>
      <c r="F42" s="365"/>
      <c r="G42" s="365"/>
      <c r="H42" s="365"/>
      <c r="I42" s="365"/>
      <c r="J42" s="365"/>
    </row>
    <row r="43" spans="1:22">
      <c r="A43" s="200" t="s">
        <v>12</v>
      </c>
      <c r="B43" s="440" t="s">
        <v>235</v>
      </c>
      <c r="C43" s="444"/>
      <c r="D43" s="444"/>
      <c r="E43" s="444"/>
      <c r="F43" s="444"/>
      <c r="G43" s="444"/>
      <c r="H43" s="445"/>
      <c r="I43" s="193"/>
      <c r="J43" s="194" t="s">
        <v>282</v>
      </c>
    </row>
    <row r="44" spans="1:22">
      <c r="A44" s="201" t="s">
        <v>88</v>
      </c>
      <c r="B44" s="474">
        <f>'MONTHLY LIVING'!G101</f>
        <v>0</v>
      </c>
      <c r="C44" s="474"/>
      <c r="D44" s="474"/>
      <c r="E44" s="474"/>
      <c r="F44" s="474"/>
      <c r="G44" s="474"/>
      <c r="H44" s="474"/>
      <c r="I44" s="51"/>
      <c r="J44" s="14">
        <f>'MONTHLY LIVING'!F101</f>
        <v>0</v>
      </c>
    </row>
    <row r="45" spans="1:22">
      <c r="A45" s="201" t="s">
        <v>89</v>
      </c>
      <c r="B45" s="474" t="str">
        <f>'MONTHLY LIVING'!G102</f>
        <v xml:space="preserve"> </v>
      </c>
      <c r="C45" s="474"/>
      <c r="D45" s="474"/>
      <c r="E45" s="474"/>
      <c r="F45" s="474"/>
      <c r="G45" s="474"/>
      <c r="H45" s="474"/>
      <c r="I45" s="51"/>
      <c r="J45" s="14">
        <f>'MONTHLY LIVING'!F102</f>
        <v>0</v>
      </c>
    </row>
    <row r="46" spans="1:22">
      <c r="A46" s="201" t="s">
        <v>90</v>
      </c>
      <c r="B46" s="474" t="str">
        <f>'MONTHLY LIVING'!G103</f>
        <v xml:space="preserve"> </v>
      </c>
      <c r="C46" s="474"/>
      <c r="D46" s="474"/>
      <c r="E46" s="474"/>
      <c r="F46" s="474"/>
      <c r="G46" s="474"/>
      <c r="H46" s="474"/>
      <c r="I46" s="51"/>
      <c r="J46" s="14">
        <f>'MONTHLY LIVING'!F103</f>
        <v>0</v>
      </c>
    </row>
    <row r="47" spans="1:22">
      <c r="A47" s="201" t="s">
        <v>91</v>
      </c>
      <c r="B47" s="474" t="str">
        <f>'MONTHLY LIVING'!G104</f>
        <v xml:space="preserve"> </v>
      </c>
      <c r="C47" s="474"/>
      <c r="D47" s="474"/>
      <c r="E47" s="474"/>
      <c r="F47" s="474"/>
      <c r="G47" s="474"/>
      <c r="H47" s="474"/>
      <c r="I47" s="51"/>
      <c r="J47" s="14">
        <f>'MONTHLY LIVING'!F104</f>
        <v>0</v>
      </c>
    </row>
    <row r="48" spans="1:22">
      <c r="A48" s="202"/>
      <c r="B48" s="203"/>
      <c r="C48" s="203"/>
      <c r="D48" s="203"/>
      <c r="E48" s="203"/>
      <c r="F48" s="203"/>
      <c r="G48" s="203"/>
      <c r="H48" s="349" t="s">
        <v>363</v>
      </c>
      <c r="I48" s="346"/>
      <c r="J48" s="14">
        <f>SUM(J44:J47)</f>
        <v>0</v>
      </c>
    </row>
    <row r="49" spans="1:10">
      <c r="A49" s="171"/>
      <c r="B49" s="171"/>
      <c r="C49" s="171"/>
      <c r="D49" s="170"/>
      <c r="E49" s="170"/>
      <c r="F49" s="170"/>
      <c r="G49" s="170"/>
      <c r="H49" s="170"/>
      <c r="I49" s="125"/>
      <c r="J49" s="172"/>
    </row>
    <row r="50" spans="1:10">
      <c r="A50" s="466" t="s">
        <v>262</v>
      </c>
      <c r="B50" s="467"/>
      <c r="C50" s="467"/>
      <c r="D50" s="467"/>
      <c r="E50" s="467"/>
      <c r="F50" s="467"/>
      <c r="G50" s="467"/>
      <c r="H50" s="467"/>
      <c r="I50" s="467"/>
      <c r="J50" s="468"/>
    </row>
    <row r="51" spans="1:10">
      <c r="A51" s="469"/>
      <c r="B51" s="470"/>
      <c r="C51" s="470"/>
      <c r="D51" s="470"/>
      <c r="E51" s="470"/>
      <c r="F51" s="470"/>
      <c r="G51" s="470"/>
      <c r="H51" s="470"/>
      <c r="I51" s="470"/>
      <c r="J51" s="471"/>
    </row>
    <row r="52" spans="1:10">
      <c r="A52"/>
      <c r="B52"/>
      <c r="C52"/>
      <c r="D52"/>
      <c r="E52"/>
      <c r="F52"/>
      <c r="G52"/>
      <c r="H52"/>
      <c r="I52"/>
      <c r="J52"/>
    </row>
    <row r="53" spans="1:10">
      <c r="A53"/>
      <c r="B53"/>
      <c r="C53"/>
      <c r="D53"/>
      <c r="E53"/>
      <c r="F53"/>
      <c r="G53"/>
      <c r="H53"/>
      <c r="I53"/>
      <c r="J53"/>
    </row>
    <row r="54" spans="1:10">
      <c r="A54"/>
      <c r="B54"/>
      <c r="C54"/>
      <c r="D54"/>
      <c r="E54"/>
      <c r="F54"/>
      <c r="G54"/>
      <c r="H54"/>
      <c r="I54"/>
      <c r="J54"/>
    </row>
    <row r="55" spans="1:10">
      <c r="A55"/>
      <c r="B55"/>
      <c r="C55"/>
      <c r="D55"/>
      <c r="E55"/>
      <c r="F55"/>
      <c r="G55"/>
      <c r="H55"/>
      <c r="I55"/>
      <c r="J55"/>
    </row>
    <row r="56" spans="1:10">
      <c r="A56"/>
      <c r="B56"/>
      <c r="C56"/>
      <c r="D56"/>
      <c r="E56"/>
      <c r="F56"/>
      <c r="G56"/>
      <c r="H56"/>
      <c r="I56"/>
      <c r="J56"/>
    </row>
    <row r="57" spans="1:10">
      <c r="A57"/>
      <c r="B57"/>
      <c r="C57"/>
      <c r="D57"/>
      <c r="E57"/>
      <c r="F57"/>
      <c r="G57"/>
      <c r="H57"/>
      <c r="I57"/>
      <c r="J57"/>
    </row>
    <row r="58" spans="1:10">
      <c r="A58"/>
      <c r="B58"/>
      <c r="C58"/>
      <c r="D58"/>
      <c r="E58"/>
      <c r="F58"/>
      <c r="G58"/>
      <c r="H58"/>
      <c r="I58"/>
      <c r="J58"/>
    </row>
    <row r="59" spans="1:10">
      <c r="A59"/>
      <c r="B59"/>
      <c r="C59"/>
      <c r="D59"/>
      <c r="E59"/>
      <c r="F59"/>
      <c r="G59"/>
      <c r="H59"/>
      <c r="I59"/>
      <c r="J59"/>
    </row>
    <row r="60" spans="1:10">
      <c r="A60"/>
      <c r="B60"/>
      <c r="C60"/>
      <c r="D60"/>
      <c r="E60"/>
      <c r="F60"/>
      <c r="G60"/>
      <c r="H60"/>
      <c r="I60"/>
      <c r="J60"/>
    </row>
    <row r="61" spans="1:10">
      <c r="A61"/>
      <c r="B61"/>
      <c r="C61"/>
      <c r="D61"/>
      <c r="E61"/>
      <c r="F61"/>
      <c r="G61"/>
      <c r="H61"/>
      <c r="I61"/>
      <c r="J61"/>
    </row>
    <row r="62" spans="1:10">
      <c r="A62"/>
      <c r="B62"/>
      <c r="C62"/>
      <c r="D62"/>
      <c r="E62"/>
      <c r="F62"/>
      <c r="G62"/>
      <c r="H62"/>
      <c r="I62"/>
      <c r="J62"/>
    </row>
    <row r="63" spans="1:10">
      <c r="A63"/>
      <c r="B63"/>
      <c r="C63"/>
      <c r="D63"/>
      <c r="E63"/>
      <c r="F63"/>
      <c r="G63"/>
      <c r="H63"/>
      <c r="I63"/>
      <c r="J63"/>
    </row>
    <row r="64" spans="1:10">
      <c r="A64"/>
      <c r="B64"/>
      <c r="C64"/>
      <c r="D64"/>
      <c r="E64"/>
      <c r="F64"/>
      <c r="G64"/>
      <c r="H64"/>
      <c r="I64"/>
      <c r="J64"/>
    </row>
    <row r="65" spans="1:10">
      <c r="A65"/>
      <c r="B65"/>
      <c r="C65"/>
      <c r="D65"/>
      <c r="E65"/>
      <c r="F65"/>
      <c r="G65"/>
      <c r="H65"/>
      <c r="I65"/>
      <c r="J65"/>
    </row>
    <row r="66" spans="1:10">
      <c r="A66"/>
      <c r="B66"/>
      <c r="C66"/>
      <c r="D66"/>
      <c r="E66"/>
      <c r="F66"/>
      <c r="G66"/>
      <c r="H66"/>
      <c r="I66"/>
      <c r="J66"/>
    </row>
    <row r="67" spans="1:10">
      <c r="A67"/>
      <c r="B67"/>
      <c r="C67"/>
      <c r="D67"/>
      <c r="E67"/>
      <c r="F67"/>
      <c r="G67"/>
      <c r="H67"/>
      <c r="I67"/>
      <c r="J67"/>
    </row>
    <row r="68" spans="1:10">
      <c r="A68"/>
      <c r="B68"/>
      <c r="C68"/>
      <c r="D68"/>
      <c r="E68"/>
      <c r="F68"/>
      <c r="G68"/>
      <c r="H68"/>
      <c r="I68"/>
      <c r="J68"/>
    </row>
    <row r="69" spans="1:10">
      <c r="A69"/>
      <c r="B69"/>
      <c r="C69"/>
      <c r="D69"/>
      <c r="E69"/>
      <c r="F69"/>
      <c r="G69"/>
      <c r="H69"/>
      <c r="I69"/>
      <c r="J69"/>
    </row>
    <row r="70" spans="1:10">
      <c r="A70"/>
      <c r="B70"/>
      <c r="C70"/>
      <c r="D70"/>
      <c r="E70"/>
      <c r="F70"/>
      <c r="G70"/>
      <c r="H70"/>
      <c r="I70"/>
      <c r="J70"/>
    </row>
    <row r="71" spans="1:10">
      <c r="A71"/>
      <c r="B71"/>
      <c r="C71"/>
      <c r="D71"/>
      <c r="E71"/>
      <c r="F71"/>
      <c r="G71"/>
      <c r="H71"/>
      <c r="I71"/>
      <c r="J71"/>
    </row>
    <row r="72" spans="1:10">
      <c r="A72"/>
      <c r="B72"/>
      <c r="C72"/>
      <c r="D72"/>
      <c r="E72"/>
      <c r="F72"/>
      <c r="G72"/>
      <c r="H72"/>
      <c r="I72"/>
      <c r="J72"/>
    </row>
    <row r="73" spans="1:10">
      <c r="A73"/>
      <c r="B73"/>
      <c r="C73"/>
      <c r="D73"/>
      <c r="E73"/>
      <c r="F73"/>
      <c r="G73"/>
      <c r="H73"/>
      <c r="I73"/>
      <c r="J73"/>
    </row>
    <row r="74" spans="1:10">
      <c r="A74"/>
      <c r="B74"/>
      <c r="C74"/>
      <c r="D74"/>
      <c r="E74"/>
      <c r="F74"/>
      <c r="G74"/>
      <c r="H74"/>
      <c r="I74"/>
      <c r="J74"/>
    </row>
    <row r="75" spans="1:10">
      <c r="A75"/>
      <c r="B75"/>
      <c r="C75"/>
      <c r="D75"/>
      <c r="E75"/>
      <c r="F75"/>
      <c r="G75"/>
      <c r="H75"/>
      <c r="I75"/>
      <c r="J75"/>
    </row>
  </sheetData>
  <sheetProtection password="C640" sheet="1" objects="1" scenarios="1"/>
  <customSheetViews>
    <customSheetView guid="{D8F4F400-1F22-11D7-BD75-C829030E573B}" showPageBreaks="1" showRuler="0">
      <selection activeCell="L22" sqref="L22"/>
      <pageSetup orientation="portrait" horizontalDpi="4294967292" verticalDpi="4294967292"/>
    </customSheetView>
  </customSheetViews>
  <mergeCells count="49">
    <mergeCell ref="F3:H3"/>
    <mergeCell ref="F1:J1"/>
    <mergeCell ref="G21:H21"/>
    <mergeCell ref="B2:D2"/>
    <mergeCell ref="B3:D3"/>
    <mergeCell ref="G17:H17"/>
    <mergeCell ref="G19:H19"/>
    <mergeCell ref="A6:E7"/>
    <mergeCell ref="G7:J7"/>
    <mergeCell ref="G18:H18"/>
    <mergeCell ref="F2:H2"/>
    <mergeCell ref="F4:H4"/>
    <mergeCell ref="A4:C4"/>
    <mergeCell ref="G14:H14"/>
    <mergeCell ref="G15:H15"/>
    <mergeCell ref="G16:H16"/>
    <mergeCell ref="A50:J51"/>
    <mergeCell ref="D40:H40"/>
    <mergeCell ref="D39:H39"/>
    <mergeCell ref="B47:H47"/>
    <mergeCell ref="D42:J42"/>
    <mergeCell ref="H48:I48"/>
    <mergeCell ref="A39:C39"/>
    <mergeCell ref="A40:C40"/>
    <mergeCell ref="B44:H44"/>
    <mergeCell ref="B45:H45"/>
    <mergeCell ref="B46:H46"/>
    <mergeCell ref="H41:I41"/>
    <mergeCell ref="B43:H43"/>
    <mergeCell ref="A36:C36"/>
    <mergeCell ref="A37:C37"/>
    <mergeCell ref="A38:C38"/>
    <mergeCell ref="A35:H35"/>
    <mergeCell ref="D37:H37"/>
    <mergeCell ref="D38:H38"/>
    <mergeCell ref="G10:H10"/>
    <mergeCell ref="G11:H11"/>
    <mergeCell ref="G12:H12"/>
    <mergeCell ref="G13:H13"/>
    <mergeCell ref="D36:H36"/>
    <mergeCell ref="G25:H25"/>
    <mergeCell ref="A33:D33"/>
    <mergeCell ref="A29:D29"/>
    <mergeCell ref="A27:D27"/>
    <mergeCell ref="A31:D31"/>
    <mergeCell ref="G29:J33"/>
    <mergeCell ref="G27:H27"/>
    <mergeCell ref="G20:H20"/>
    <mergeCell ref="A25:E25"/>
  </mergeCells>
  <phoneticPr fontId="26" type="noConversion"/>
  <printOptions gridLines="1"/>
  <pageMargins left="0.75" right="0.25" top="0.5" bottom="0.5" header="0.5" footer="0.5"/>
  <pageSetup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BUDGET</vt:lpstr>
      <vt:lpstr>SALARY</vt:lpstr>
      <vt:lpstr>DEPENDENTS</vt:lpstr>
      <vt:lpstr>MARRIAGE</vt:lpstr>
      <vt:lpstr>SPOUSE</vt:lpstr>
      <vt:lpstr>CAR PURCHASE</vt:lpstr>
      <vt:lpstr>INFORMATION</vt:lpstr>
      <vt:lpstr>MONTHLY LIVING</vt:lpstr>
      <vt:lpstr>PERSONAL FINANCES</vt:lpstr>
      <vt:lpstr>HOUSE-TRANSPORT</vt:lpstr>
    </vt:vector>
  </TitlesOfParts>
  <Company>Big Top Productions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Bozo Inc</dc:creator>
  <cp:lastModifiedBy>Century High School</cp:lastModifiedBy>
  <cp:lastPrinted>2013-11-04T00:16:35Z</cp:lastPrinted>
  <dcterms:created xsi:type="dcterms:W3CDTF">2002-11-28T15:59:53Z</dcterms:created>
  <dcterms:modified xsi:type="dcterms:W3CDTF">2013-12-16T23:49:51Z</dcterms:modified>
</cp:coreProperties>
</file>