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812"/>
  <workbookPr date1904="1" showInkAnnotation="0" autoCompressPictures="0"/>
  <bookViews>
    <workbookView xWindow="160" yWindow="0" windowWidth="29260" windowHeight="20360" tabRatio="887" activeTab="2"/>
  </bookViews>
  <sheets>
    <sheet name="INFORMATION" sheetId="9" r:id="rId1"/>
    <sheet name="BUDGET" sheetId="7" r:id="rId2"/>
    <sheet name="MONTHLY LIVING" sheetId="3" r:id="rId3"/>
    <sheet name="PERSONAL FINANCES" sheetId="2" r:id="rId4"/>
    <sheet name="MARRIAGE" sheetId="5" r:id="rId5"/>
    <sheet name="DEPENDENTS" sheetId="6" r:id="rId6"/>
    <sheet name="SALARY" sheetId="8" r:id="rId7"/>
    <sheet name="HOUSE-TRANSPORT" sheetId="1" r:id="rId8"/>
  </sheets>
  <definedNames>
    <definedName name="_xlnm.Print_Area" localSheetId="2">'MONTHLY LIVING'!$A$1:$G$97</definedName>
    <definedName name="Z_D8F4F400_1F22_11D7_BD75_C829030E573B_.wvu.PrintArea" localSheetId="2" hidden="1">'MONTHLY LIVING'!$A$1:$G$97</definedName>
  </definedNames>
  <calcPr calcId="140001" concurrentCalc="0"/>
  <customWorkbookViews>
    <customWorkbookView name="Bozo Inc - Personal View" guid="{D8F4F400-1F22-11D7-BD75-C829030E573B}" mergeInterval="0" personalView="1" xWindow="171" yWindow="21" windowWidth="829" windowHeight="631" tabRatio="71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9" i="3" l="1"/>
  <c r="G12" i="1"/>
  <c r="F24" i="1"/>
  <c r="F25" i="1"/>
  <c r="F26" i="1"/>
  <c r="F27" i="1"/>
  <c r="F28" i="1"/>
  <c r="F12" i="3"/>
  <c r="G41" i="9"/>
  <c r="G42" i="9"/>
  <c r="F95" i="3"/>
  <c r="F23" i="3"/>
  <c r="F20" i="3"/>
  <c r="E16" i="2"/>
  <c r="E10" i="2"/>
  <c r="G33" i="9"/>
  <c r="E11" i="2"/>
  <c r="G14" i="1"/>
  <c r="C12" i="1"/>
  <c r="G17" i="1"/>
  <c r="C16" i="1"/>
  <c r="C17" i="1"/>
  <c r="C18" i="1"/>
  <c r="C19" i="1"/>
  <c r="C20" i="1"/>
  <c r="C21" i="1"/>
  <c r="G28" i="9"/>
  <c r="F7" i="3"/>
  <c r="G29" i="9"/>
  <c r="G28" i="6"/>
  <c r="H28" i="6"/>
  <c r="G29" i="6"/>
  <c r="H29" i="6"/>
  <c r="G30" i="6"/>
  <c r="H30" i="6"/>
  <c r="G31" i="6"/>
  <c r="H31" i="6"/>
  <c r="G32" i="6"/>
  <c r="H32" i="6"/>
  <c r="G33" i="6"/>
  <c r="H33" i="6"/>
  <c r="H35" i="6"/>
  <c r="F32" i="3"/>
  <c r="B24" i="1"/>
  <c r="B25" i="1"/>
  <c r="B26" i="1"/>
  <c r="B27" i="1"/>
  <c r="B28" i="1"/>
  <c r="F33" i="3"/>
  <c r="C53" i="1"/>
  <c r="G22" i="1"/>
  <c r="G20" i="1"/>
  <c r="D26" i="3"/>
  <c r="C23" i="9"/>
  <c r="A23" i="9"/>
  <c r="F55" i="1"/>
  <c r="F48" i="1"/>
  <c r="G48" i="1"/>
  <c r="F49" i="1"/>
  <c r="G49" i="1"/>
  <c r="F50" i="1"/>
  <c r="G50" i="1"/>
  <c r="F51" i="1"/>
  <c r="G51" i="1"/>
  <c r="F52" i="1"/>
  <c r="G52" i="1"/>
  <c r="F23" i="9"/>
  <c r="F53" i="1"/>
  <c r="G53" i="1"/>
  <c r="G47" i="1"/>
  <c r="F47" i="1"/>
  <c r="F43" i="1"/>
  <c r="G34" i="1"/>
  <c r="F42" i="1"/>
  <c r="G33" i="1"/>
  <c r="F41" i="1"/>
  <c r="G32" i="1"/>
  <c r="F40" i="1"/>
  <c r="G31" i="1"/>
  <c r="F39" i="1"/>
  <c r="G30" i="1"/>
  <c r="F34" i="1"/>
  <c r="F33" i="1"/>
  <c r="F32" i="1"/>
  <c r="F31" i="1"/>
  <c r="F30" i="1"/>
  <c r="E34" i="1"/>
  <c r="E33" i="1"/>
  <c r="E32" i="1"/>
  <c r="E30" i="1"/>
  <c r="E31" i="1"/>
  <c r="C34" i="1"/>
  <c r="C33" i="1"/>
  <c r="C32" i="1"/>
  <c r="C31" i="1"/>
  <c r="C30" i="1"/>
  <c r="B32" i="1"/>
  <c r="B33" i="1"/>
  <c r="B31" i="1"/>
  <c r="B30" i="1"/>
  <c r="B34" i="1"/>
  <c r="G14" i="9"/>
  <c r="F6" i="3"/>
  <c r="E19" i="7"/>
  <c r="B15" i="5"/>
  <c r="G12" i="9"/>
  <c r="F65" i="3"/>
  <c r="J37" i="7"/>
  <c r="D29" i="7"/>
  <c r="F43" i="3"/>
  <c r="F39" i="3"/>
  <c r="D27" i="7"/>
  <c r="F40" i="3"/>
  <c r="F25" i="3"/>
  <c r="D25" i="7"/>
  <c r="F34" i="3"/>
  <c r="F19" i="3"/>
  <c r="F17" i="3"/>
  <c r="E17" i="7"/>
  <c r="E23" i="7"/>
  <c r="E27" i="7"/>
  <c r="C24" i="1"/>
  <c r="C25" i="1"/>
  <c r="C26" i="1"/>
  <c r="C27" i="1"/>
  <c r="C28" i="1"/>
  <c r="F42" i="3"/>
  <c r="E29" i="7"/>
  <c r="E25" i="7"/>
  <c r="E24" i="1"/>
  <c r="E25" i="1"/>
  <c r="E26" i="1"/>
  <c r="E27" i="1"/>
  <c r="E28" i="1"/>
  <c r="F15" i="3"/>
  <c r="D15" i="7"/>
  <c r="E15" i="7"/>
  <c r="D13" i="7"/>
  <c r="E13" i="7"/>
  <c r="G24" i="1"/>
  <c r="G25" i="1"/>
  <c r="G26" i="1"/>
  <c r="G27" i="1"/>
  <c r="G28" i="1"/>
  <c r="F9" i="3"/>
  <c r="D11" i="7"/>
  <c r="E11" i="7"/>
  <c r="F16" i="3"/>
  <c r="F13" i="3"/>
  <c r="F10" i="3"/>
  <c r="J3" i="2"/>
  <c r="J2" i="2"/>
  <c r="J2" i="7"/>
  <c r="B2" i="7"/>
  <c r="A22" i="9"/>
  <c r="D4" i="8"/>
  <c r="I4" i="8"/>
  <c r="S4" i="8"/>
  <c r="C29" i="9"/>
  <c r="G47" i="9"/>
  <c r="G52" i="9"/>
  <c r="H7" i="7"/>
  <c r="J7" i="7"/>
  <c r="E9" i="7"/>
  <c r="H9" i="7"/>
  <c r="J9" i="7"/>
  <c r="G35" i="1"/>
  <c r="H11" i="7"/>
  <c r="J11" i="7"/>
  <c r="F35" i="1"/>
  <c r="H13" i="7"/>
  <c r="J13" i="7"/>
  <c r="E35" i="1"/>
  <c r="H15" i="7"/>
  <c r="J15" i="7"/>
  <c r="H17" i="7"/>
  <c r="J17" i="7"/>
  <c r="H19" i="7"/>
  <c r="J19" i="7"/>
  <c r="E21" i="7"/>
  <c r="H21" i="7"/>
  <c r="J21" i="7"/>
  <c r="H23" i="7"/>
  <c r="J23" i="7"/>
  <c r="B35" i="1"/>
  <c r="H25" i="7"/>
  <c r="J25" i="7"/>
  <c r="H27" i="7"/>
  <c r="J27" i="7"/>
  <c r="C35" i="1"/>
  <c r="H29" i="7"/>
  <c r="J29" i="7"/>
  <c r="E33" i="7"/>
  <c r="E37" i="7"/>
  <c r="J39" i="7"/>
  <c r="E41" i="7"/>
  <c r="H41" i="7"/>
  <c r="J41" i="7"/>
  <c r="E43" i="7"/>
  <c r="H43" i="7"/>
  <c r="J43" i="7"/>
  <c r="E45" i="7"/>
  <c r="H45" i="7"/>
  <c r="J45" i="7"/>
  <c r="E47" i="7"/>
  <c r="H47" i="7"/>
  <c r="J47" i="7"/>
  <c r="E49" i="7"/>
  <c r="H49" i="7"/>
  <c r="J49" i="7"/>
  <c r="E52" i="7"/>
  <c r="J52" i="7"/>
  <c r="J51" i="7"/>
  <c r="C2" i="3"/>
  <c r="F8" i="3"/>
  <c r="F11" i="3"/>
  <c r="F14" i="3"/>
  <c r="F24" i="3"/>
  <c r="C48" i="1"/>
  <c r="F27" i="3"/>
  <c r="F28" i="6"/>
  <c r="F29" i="6"/>
  <c r="F30" i="6"/>
  <c r="F31" i="6"/>
  <c r="F32" i="6"/>
  <c r="F33" i="6"/>
  <c r="F37" i="3"/>
  <c r="F44" i="1"/>
  <c r="F41" i="3"/>
  <c r="F45" i="3"/>
  <c r="F46" i="3"/>
  <c r="F44" i="3"/>
  <c r="F49" i="3"/>
  <c r="F58" i="3"/>
  <c r="F70" i="3"/>
  <c r="F77" i="3"/>
  <c r="F90" i="3"/>
  <c r="F94" i="3"/>
  <c r="F82" i="3"/>
  <c r="F99" i="3"/>
  <c r="B2" i="2"/>
  <c r="B3" i="2"/>
  <c r="D4" i="2"/>
  <c r="J4" i="2"/>
  <c r="J10" i="2"/>
  <c r="J11" i="2"/>
  <c r="E12" i="2"/>
  <c r="J12" i="2"/>
  <c r="E13" i="2"/>
  <c r="J13" i="2"/>
  <c r="E14" i="2"/>
  <c r="J14" i="2"/>
  <c r="E15" i="2"/>
  <c r="J15" i="2"/>
  <c r="J16" i="2"/>
  <c r="E17" i="2"/>
  <c r="J17" i="2"/>
  <c r="E18" i="2"/>
  <c r="J18" i="2"/>
  <c r="E19" i="2"/>
  <c r="J19" i="2"/>
  <c r="E20" i="2"/>
  <c r="J20" i="2"/>
  <c r="E21" i="2"/>
  <c r="J21" i="2"/>
  <c r="E23" i="2"/>
  <c r="J23" i="2"/>
  <c r="J25" i="2"/>
  <c r="E27" i="2"/>
  <c r="J27" i="2"/>
  <c r="J44" i="2"/>
  <c r="J45" i="2"/>
  <c r="J46" i="2"/>
  <c r="J47" i="2"/>
  <c r="J48" i="2"/>
  <c r="E29" i="2"/>
  <c r="J37" i="2"/>
  <c r="J38" i="2"/>
  <c r="J39" i="2"/>
  <c r="J40" i="2"/>
  <c r="J41" i="2"/>
  <c r="E31" i="2"/>
  <c r="E33" i="2"/>
  <c r="A37" i="2"/>
  <c r="D37" i="2"/>
  <c r="A38" i="2"/>
  <c r="D38" i="2"/>
  <c r="A39" i="2"/>
  <c r="D39" i="2"/>
  <c r="A40" i="2"/>
  <c r="D40" i="2"/>
  <c r="B44" i="2"/>
  <c r="B45" i="2"/>
  <c r="B46" i="2"/>
  <c r="B47" i="2"/>
  <c r="D15" i="5"/>
  <c r="D41" i="5"/>
  <c r="D67" i="5"/>
  <c r="D93" i="5"/>
  <c r="G4" i="8"/>
  <c r="J4" i="8"/>
  <c r="K4" i="8"/>
  <c r="L4" i="8"/>
  <c r="W4" i="8"/>
  <c r="N4" i="8"/>
  <c r="O4" i="8"/>
  <c r="U4" i="8"/>
  <c r="Y4" i="8"/>
  <c r="Q4" i="8"/>
  <c r="D5" i="8"/>
  <c r="G5" i="8"/>
  <c r="I5" i="8"/>
  <c r="J5" i="8"/>
  <c r="K5" i="8"/>
  <c r="L5" i="8"/>
  <c r="S5" i="8"/>
  <c r="W5" i="8"/>
  <c r="N5" i="8"/>
  <c r="O5" i="8"/>
  <c r="U5" i="8"/>
  <c r="Y5" i="8"/>
  <c r="Q5" i="8"/>
  <c r="D6" i="8"/>
  <c r="G6" i="8"/>
  <c r="I6" i="8"/>
  <c r="J6" i="8"/>
  <c r="K6" i="8"/>
  <c r="L6" i="8"/>
  <c r="S6" i="8"/>
  <c r="W6" i="8"/>
  <c r="N6" i="8"/>
  <c r="O6" i="8"/>
  <c r="U6" i="8"/>
  <c r="Y6" i="8"/>
  <c r="Q6" i="8"/>
  <c r="I7" i="8"/>
  <c r="J7" i="8"/>
  <c r="K7" i="8"/>
  <c r="L7" i="8"/>
  <c r="S7" i="8"/>
  <c r="W7" i="8"/>
  <c r="N7" i="8"/>
  <c r="O7" i="8"/>
  <c r="U7" i="8"/>
  <c r="Y7" i="8"/>
  <c r="Q7" i="8"/>
  <c r="D8" i="8"/>
  <c r="G8" i="8"/>
  <c r="I8" i="8"/>
  <c r="J8" i="8"/>
  <c r="K8" i="8"/>
  <c r="L8" i="8"/>
  <c r="S8" i="8"/>
  <c r="W8" i="8"/>
  <c r="N8" i="8"/>
  <c r="O8" i="8"/>
  <c r="U8" i="8"/>
  <c r="Y8" i="8"/>
  <c r="Q8" i="8"/>
  <c r="D9" i="8"/>
  <c r="G9" i="8"/>
  <c r="I9" i="8"/>
  <c r="J9" i="8"/>
  <c r="K9" i="8"/>
  <c r="L9" i="8"/>
  <c r="S9" i="8"/>
  <c r="W9" i="8"/>
  <c r="N9" i="8"/>
  <c r="O9" i="8"/>
  <c r="U9" i="8"/>
  <c r="Y9" i="8"/>
  <c r="Q9" i="8"/>
  <c r="D10" i="8"/>
  <c r="G10" i="8"/>
  <c r="I10" i="8"/>
  <c r="J10" i="8"/>
  <c r="K10" i="8"/>
  <c r="L10" i="8"/>
  <c r="S10" i="8"/>
  <c r="W10" i="8"/>
  <c r="N10" i="8"/>
  <c r="O10" i="8"/>
  <c r="U10" i="8"/>
  <c r="Y10" i="8"/>
  <c r="Q10" i="8"/>
  <c r="I11" i="8"/>
  <c r="J11" i="8"/>
  <c r="K11" i="8"/>
  <c r="L11" i="8"/>
  <c r="S11" i="8"/>
  <c r="W11" i="8"/>
  <c r="N11" i="8"/>
  <c r="O11" i="8"/>
  <c r="U11" i="8"/>
  <c r="Y11" i="8"/>
  <c r="Q11" i="8"/>
  <c r="D12" i="8"/>
  <c r="G12" i="8"/>
  <c r="I12" i="8"/>
  <c r="J12" i="8"/>
  <c r="K12" i="8"/>
  <c r="L12" i="8"/>
  <c r="S12" i="8"/>
  <c r="W12" i="8"/>
  <c r="N12" i="8"/>
  <c r="O12" i="8"/>
  <c r="U12" i="8"/>
  <c r="Y12" i="8"/>
  <c r="Q12" i="8"/>
  <c r="D13" i="8"/>
  <c r="G13" i="8"/>
  <c r="I13" i="8"/>
  <c r="J13" i="8"/>
  <c r="K13" i="8"/>
  <c r="L13" i="8"/>
  <c r="S13" i="8"/>
  <c r="W13" i="8"/>
  <c r="N13" i="8"/>
  <c r="O13" i="8"/>
  <c r="U13" i="8"/>
  <c r="Y13" i="8"/>
  <c r="Q13" i="8"/>
  <c r="I14" i="8"/>
  <c r="J14" i="8"/>
  <c r="K14" i="8"/>
  <c r="L14" i="8"/>
  <c r="S14" i="8"/>
  <c r="W14" i="8"/>
  <c r="N14" i="8"/>
  <c r="O14" i="8"/>
  <c r="U14" i="8"/>
  <c r="Y14" i="8"/>
  <c r="Q14" i="8"/>
  <c r="D15" i="8"/>
  <c r="G15" i="8"/>
  <c r="I15" i="8"/>
  <c r="J15" i="8"/>
  <c r="K15" i="8"/>
  <c r="L15" i="8"/>
  <c r="S15" i="8"/>
  <c r="W15" i="8"/>
  <c r="N15" i="8"/>
  <c r="O15" i="8"/>
  <c r="U15" i="8"/>
  <c r="Y15" i="8"/>
  <c r="Q15" i="8"/>
  <c r="D16" i="8"/>
  <c r="G16" i="8"/>
  <c r="I16" i="8"/>
  <c r="J16" i="8"/>
  <c r="K16" i="8"/>
  <c r="L16" i="8"/>
  <c r="S16" i="8"/>
  <c r="W16" i="8"/>
  <c r="N16" i="8"/>
  <c r="O16" i="8"/>
  <c r="U16" i="8"/>
  <c r="Y16" i="8"/>
  <c r="Q16" i="8"/>
  <c r="I17" i="8"/>
  <c r="J17" i="8"/>
  <c r="K17" i="8"/>
  <c r="L17" i="8"/>
  <c r="S17" i="8"/>
  <c r="W17" i="8"/>
  <c r="N17" i="8"/>
  <c r="O17" i="8"/>
  <c r="U17" i="8"/>
  <c r="Y17" i="8"/>
  <c r="Q17" i="8"/>
  <c r="D18" i="8"/>
  <c r="G18" i="8"/>
  <c r="I18" i="8"/>
  <c r="J18" i="8"/>
  <c r="K18" i="8"/>
  <c r="L18" i="8"/>
  <c r="S18" i="8"/>
  <c r="W18" i="8"/>
  <c r="N18" i="8"/>
  <c r="O18" i="8"/>
  <c r="U18" i="8"/>
  <c r="Y18" i="8"/>
  <c r="Q18" i="8"/>
  <c r="D19" i="8"/>
  <c r="G19" i="8"/>
  <c r="I19" i="8"/>
  <c r="J19" i="8"/>
  <c r="K19" i="8"/>
  <c r="L19" i="8"/>
  <c r="S19" i="8"/>
  <c r="W19" i="8"/>
  <c r="N19" i="8"/>
  <c r="O19" i="8"/>
  <c r="U19" i="8"/>
  <c r="Y19" i="8"/>
  <c r="Q19" i="8"/>
  <c r="I20" i="8"/>
  <c r="J20" i="8"/>
  <c r="K20" i="8"/>
  <c r="L20" i="8"/>
  <c r="S20" i="8"/>
  <c r="W20" i="8"/>
  <c r="N20" i="8"/>
  <c r="O20" i="8"/>
  <c r="U20" i="8"/>
  <c r="Y20" i="8"/>
  <c r="Q20" i="8"/>
  <c r="D22" i="8"/>
  <c r="G22" i="8"/>
  <c r="I22" i="8"/>
  <c r="J22" i="8"/>
  <c r="K22" i="8"/>
  <c r="L22" i="8"/>
  <c r="S22" i="8"/>
  <c r="W22" i="8"/>
  <c r="N22" i="8"/>
  <c r="O22" i="8"/>
  <c r="U22" i="8"/>
  <c r="Y22" i="8"/>
  <c r="Q22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2" i="8"/>
  <c r="B3" i="1"/>
  <c r="C8" i="1"/>
  <c r="G8" i="1"/>
  <c r="C9" i="1"/>
  <c r="G9" i="1"/>
  <c r="C10" i="1"/>
  <c r="G10" i="1"/>
  <c r="C11" i="1"/>
  <c r="G11" i="1"/>
  <c r="C14" i="1"/>
  <c r="G16" i="1"/>
  <c r="G18" i="1"/>
  <c r="G21" i="1"/>
  <c r="C22" i="1"/>
  <c r="F45" i="1"/>
  <c r="A62" i="1"/>
  <c r="C49" i="1"/>
  <c r="B62" i="1"/>
</calcChain>
</file>

<file path=xl/sharedStrings.xml><?xml version="1.0" encoding="utf-8"?>
<sst xmlns="http://schemas.openxmlformats.org/spreadsheetml/2006/main" count="732" uniqueCount="430">
  <si>
    <t>California VirtuInsurance or VE Company</t>
  </si>
  <si>
    <t>California VirtuGasoline</t>
  </si>
  <si>
    <t>California VirtuRed Cross or Church</t>
  </si>
  <si>
    <t>MONTHLY GASOLINE COST</t>
  </si>
  <si>
    <t>GASOLINE  FOR CAR</t>
  </si>
  <si>
    <t>PHOTOGRAPHY/VIDEOGRAPHY</t>
  </si>
  <si>
    <t>ACCESSORIES</t>
  </si>
  <si>
    <t>INTERNET</t>
  </si>
  <si>
    <t>GYM FEES</t>
  </si>
  <si>
    <t>CHARITY/CHURCH</t>
  </si>
  <si>
    <t>BOOKS/MAGAZINES</t>
  </si>
  <si>
    <t>Real World Raffle</t>
    <phoneticPr fontId="25" type="noConversion"/>
  </si>
  <si>
    <t>Week Date</t>
    <phoneticPr fontId="25" type="noConversion"/>
  </si>
  <si>
    <t>1. RENT (OR MORTGAGE PAYMENT)</t>
    <phoneticPr fontId="25" type="noConversion"/>
  </si>
  <si>
    <t>2. HOMEOWNERS/RENTERS INSURANCE</t>
    <phoneticPr fontId="25" type="noConversion"/>
  </si>
  <si>
    <t>3. ELECTRICITY (UTILITY)</t>
    <phoneticPr fontId="25" type="noConversion"/>
  </si>
  <si>
    <t>4. GAS (UTILITY)</t>
    <phoneticPr fontId="25" type="noConversion"/>
  </si>
  <si>
    <t>Chief Marketing Officer (CMO)</t>
    <phoneticPr fontId="25" type="noConversion"/>
  </si>
  <si>
    <t>VP of Digital Media</t>
    <phoneticPr fontId="25" type="noConversion"/>
  </si>
  <si>
    <t>Director of  Web Design</t>
    <phoneticPr fontId="25" type="noConversion"/>
  </si>
  <si>
    <t>Director of  Publication</t>
    <phoneticPr fontId="25" type="noConversion"/>
  </si>
  <si>
    <t>Director of Sales &amp; Marketing</t>
    <phoneticPr fontId="25" type="noConversion"/>
  </si>
  <si>
    <t>Digital Media Associate</t>
    <phoneticPr fontId="25" type="noConversion"/>
  </si>
  <si>
    <t>VP of Administration</t>
    <phoneticPr fontId="25" type="noConversion"/>
  </si>
  <si>
    <t>TOTAL MONTHLY NET INCOME</t>
  </si>
  <si>
    <t>Director of Accounting</t>
  </si>
  <si>
    <t>Website Resources</t>
  </si>
  <si>
    <t>www.fueleconomy.gov</t>
  </si>
  <si>
    <t>www.orangecountygasprices.com</t>
  </si>
  <si>
    <t>FLEXIBLE MONTHLY LIVING EXPENSES</t>
  </si>
  <si>
    <t>Minimum spending</t>
  </si>
  <si>
    <t>=</t>
  </si>
  <si>
    <t>GAS PRICES/PER GALLON</t>
  </si>
  <si>
    <t xml:space="preserve">PERSONAL ITEMS </t>
  </si>
  <si>
    <t>GIFTS</t>
  </si>
  <si>
    <t>LEFT TO SPEND</t>
  </si>
  <si>
    <t>SPORTING EVENT</t>
  </si>
  <si>
    <t>VACATION</t>
  </si>
  <si>
    <t>MOVIES/THEATER</t>
  </si>
  <si>
    <t>OTHER:</t>
  </si>
  <si>
    <t>RENT APARTMENT/HOUSE</t>
  </si>
  <si>
    <t>MISCELLANEOUS</t>
  </si>
  <si>
    <t>REMAINING</t>
  </si>
  <si>
    <t>TOTAL EXPENSES</t>
  </si>
  <si>
    <t>RENT (OR MORTGAGE PAYMENT)</t>
  </si>
  <si>
    <t>INSURANCE PER PERSON</t>
  </si>
  <si>
    <t>MONTHLY RENT PER PESON</t>
  </si>
  <si>
    <t>PAYMENTS</t>
  </si>
  <si>
    <t>VEHCILE PAYMENT</t>
  </si>
  <si>
    <t>VEHICLE INSURANCE</t>
  </si>
  <si>
    <t>ADDITONAL if your vehicle is a motorcycle</t>
  </si>
  <si>
    <t>http://maps.google.com/</t>
    <phoneticPr fontId="25" type="noConversion"/>
  </si>
  <si>
    <t>GAS FOR CAR</t>
  </si>
  <si>
    <t>SUPPLIES</t>
  </si>
  <si>
    <t>DEPENDENT CARE COSTS</t>
  </si>
  <si>
    <t>CHILD ADDITIONS</t>
  </si>
  <si>
    <t>OCCUPANT  NAMES</t>
  </si>
  <si>
    <t>OCCUPANT NAMES</t>
  </si>
  <si>
    <t>EARTHQUAKE INSURANCE</t>
  </si>
  <si>
    <t>TOTAL HOME COST</t>
  </si>
  <si>
    <t>Personal Finance Sheet</t>
  </si>
  <si>
    <t>CHILD CARE</t>
  </si>
  <si>
    <t>OPTIONAL FIXED EXPENSES</t>
  </si>
  <si>
    <t>NUMBER OF CHILDREN</t>
  </si>
  <si>
    <t>Names Here</t>
    <phoneticPr fontId="25" type="noConversion"/>
  </si>
  <si>
    <t>Names Here</t>
    <phoneticPr fontId="25" type="noConversion"/>
  </si>
  <si>
    <t>YOUR NUMBER OF SICK DAYS USEABLE FOR YOU ARE REDUCED BY 3 FOR EACH CHILD YOU HAVE TO COVER CHILD EMERGENCIES</t>
  </si>
  <si>
    <t>HEALTH INSURANCE</t>
  </si>
  <si>
    <t>Virtual Bank or VE company</t>
  </si>
  <si>
    <t>MONTHLY PAYMENT FOR WEDDING LOAN</t>
  </si>
  <si>
    <t>MONTHLY FOOD  COSTS</t>
  </si>
  <si>
    <t>CLOTHING/SHOES/JEWELRY</t>
  </si>
  <si>
    <t>monthly payment</t>
  </si>
  <si>
    <t>INTERNET PER PERSON</t>
  </si>
  <si>
    <t>CABLE TV PER PERSON</t>
  </si>
  <si>
    <t>VEHICLE MAKE &amp; MODEL</t>
    <phoneticPr fontId="25" type="noConversion"/>
  </si>
  <si>
    <t>PERSONAL INFORMATION</t>
    <phoneticPr fontId="25" type="noConversion"/>
  </si>
  <si>
    <t>revision date</t>
    <phoneticPr fontId="25" type="noConversion"/>
  </si>
  <si>
    <t>fill in all yellow areas only</t>
  </si>
  <si>
    <t xml:space="preserve">Bride's Wedding Ring, Groom's Wedding Ring </t>
  </si>
  <si>
    <t>HIGH COST WEDDING</t>
  </si>
  <si>
    <t>MONTHLY ROOMATE COST</t>
  </si>
  <si>
    <t>TRANSPORTATION INFORMATION</t>
  </si>
  <si>
    <t>revised 10/6/11</t>
    <phoneticPr fontId="25" type="noConversion"/>
  </si>
  <si>
    <t>NUMBER OF PRE-TEENS</t>
  </si>
  <si>
    <t>CHILDCARE COSTS</t>
  </si>
  <si>
    <t xml:space="preserve">TOTALS </t>
  </si>
  <si>
    <t>Week 1</t>
    <phoneticPr fontId="25" type="noConversion"/>
  </si>
  <si>
    <t>Week 2</t>
    <phoneticPr fontId="25" type="noConversion"/>
  </si>
  <si>
    <t>Week 3</t>
    <phoneticPr fontId="25" type="noConversion"/>
  </si>
  <si>
    <t>Week 4</t>
    <phoneticPr fontId="25" type="noConversion"/>
  </si>
  <si>
    <t>Description- Pay as a separate item in the bank</t>
    <phoneticPr fontId="25" type="noConversion"/>
  </si>
  <si>
    <t>Amount</t>
    <phoneticPr fontId="25" type="noConversion"/>
  </si>
  <si>
    <t>WEEK 1</t>
    <phoneticPr fontId="25" type="noConversion"/>
  </si>
  <si>
    <t>WEEK 2</t>
    <phoneticPr fontId="25" type="noConversion"/>
  </si>
  <si>
    <t>WEEK 3</t>
  </si>
  <si>
    <t>WEEK 4</t>
  </si>
  <si>
    <t xml:space="preserve"> </t>
    <phoneticPr fontId="25" type="noConversion"/>
  </si>
  <si>
    <t>REAL WORLD RAFFLE</t>
    <phoneticPr fontId="25" type="noConversion"/>
  </si>
  <si>
    <t>12. HOUSEHOLD SUPPLIES</t>
    <phoneticPr fontId="25" type="noConversion"/>
  </si>
  <si>
    <t xml:space="preserve">Transportation to the Ceremony, Transportation to the Reception </t>
  </si>
  <si>
    <t>HEALTH CARE COSTS ARE INCREASED FOR EACH CHILD OR DEPENDANT - SPEAK TO YOUR HR DEPARTMENT FOR ADJUSTMENTS</t>
  </si>
  <si>
    <t>PRESCHOOL-CHILD</t>
  </si>
  <si>
    <t>ELEMENTARY CHILD</t>
  </si>
  <si>
    <t>Director of Human Resources</t>
  </si>
  <si>
    <t>Chief Operations Officer (COO)</t>
  </si>
  <si>
    <t>Chief Executive Officer (CEO)</t>
  </si>
  <si>
    <t>5. WATER (UTILITY)</t>
    <phoneticPr fontId="25" type="noConversion"/>
  </si>
  <si>
    <t>6. TELEPHONE (UTILITY)</t>
    <phoneticPr fontId="25" type="noConversion"/>
  </si>
  <si>
    <t>7. CABLE TV (UTILITY)</t>
    <phoneticPr fontId="25" type="noConversion"/>
  </si>
  <si>
    <t>8. CAR INSURANCE</t>
    <phoneticPr fontId="25" type="noConversion"/>
  </si>
  <si>
    <t>9. CAR PAYMENT</t>
    <phoneticPr fontId="25" type="noConversion"/>
  </si>
  <si>
    <t>10. FOOD</t>
    <phoneticPr fontId="25" type="noConversion"/>
  </si>
  <si>
    <t>11. GAS FOR CAR</t>
    <phoneticPr fontId="25" type="noConversion"/>
  </si>
  <si>
    <t>MOTORCYCLE INSURANCE</t>
  </si>
  <si>
    <t>MARRIED</t>
  </si>
  <si>
    <t>W/INFANT</t>
  </si>
  <si>
    <t>W/TODDLER</t>
  </si>
  <si>
    <t>W/CHILD</t>
  </si>
  <si>
    <t>W/TEEN</t>
  </si>
  <si>
    <t>Flexible Monthly Expenses-Areas below should change each month</t>
  </si>
  <si>
    <t>JEWELRY</t>
  </si>
  <si>
    <t>SHOES</t>
  </si>
  <si>
    <t>CLOTHING</t>
  </si>
  <si>
    <t>SEASONAL WEAR</t>
  </si>
  <si>
    <t>MONTHLY WATER COSTS</t>
  </si>
  <si>
    <t>TEEN IN HOME PHONE COSTS</t>
  </si>
  <si>
    <t>DEPENDENT ADDITIONS</t>
  </si>
  <si>
    <t>FIXED EXPENSES</t>
  </si>
  <si>
    <t>MONTHLY HOUSEHOLD SUPPLIES</t>
  </si>
  <si>
    <t>MONTHLY HEALTH INSURANCE</t>
  </si>
  <si>
    <t>MONTHLY ELECTRIC COSTS</t>
  </si>
  <si>
    <t>MONTHLY NET SALARY</t>
  </si>
  <si>
    <t>GROSS SALARY</t>
  </si>
  <si>
    <t>NET SALARY</t>
  </si>
  <si>
    <t>CITY INFO</t>
  </si>
  <si>
    <t>PREMIUM CHANNELS</t>
  </si>
  <si>
    <t>PREMIUM CHANNELS: HBO, SHOWTIME</t>
  </si>
  <si>
    <t>BUDGET - WHAT CAN I AFFORD</t>
  </si>
  <si>
    <t>MILES PER GALLON OF GAS</t>
  </si>
  <si>
    <t>AUTO INSURANCE</t>
  </si>
  <si>
    <t>MONTHLY GAS COST</t>
  </si>
  <si>
    <t>CHARGE IF BILLS NOT PAID</t>
  </si>
  <si>
    <t>NAME</t>
  </si>
  <si>
    <t>JOB TITLE</t>
  </si>
  <si>
    <t xml:space="preserve">Bouquets, Boutonnieres, Ceremony Flowers, Table Centerpieces </t>
  </si>
  <si>
    <t>TOTAL DEPENDANT COSTS</t>
  </si>
  <si>
    <t>HOMEOWNERS/RENTERS INSURANCE</t>
  </si>
  <si>
    <t>TERM OF LOAN ( IN MONTHS)</t>
    <phoneticPr fontId="25" type="noConversion"/>
  </si>
  <si>
    <t>CHILDREN</t>
    <phoneticPr fontId="25" type="noConversion"/>
  </si>
  <si>
    <t>NAME OF SPOUSE</t>
    <phoneticPr fontId="25" type="noConversion"/>
  </si>
  <si>
    <t>REFERENCE LINKS</t>
    <phoneticPr fontId="25" type="noConversion"/>
  </si>
  <si>
    <t>DETERMINE EACH CHILD INDEPENDENTLY AND ADD UP TOTALS TO ADJUST YOUR ITEMIZED FINANCE SHEET</t>
  </si>
  <si>
    <t>Wedding Ring</t>
  </si>
  <si>
    <t>YOU MAY TAKE OUT A LOAN FROM THE BANKER TO PAY OFF YOUR WEDDING.</t>
  </si>
  <si>
    <t xml:space="preserve">Bridal Dress, Tuxedos, Accessories </t>
  </si>
  <si>
    <t>ITEMIZED MONTHLY FINANCE SHEET</t>
  </si>
  <si>
    <t>CONCERT/EVENT</t>
  </si>
  <si>
    <t>Support -Hourly</t>
  </si>
  <si>
    <r>
      <t xml:space="preserve">BUS PASS </t>
    </r>
    <r>
      <rPr>
        <sz val="8"/>
        <rFont val="Geneva"/>
      </rPr>
      <t>(TEACHER PERMISSION)</t>
    </r>
  </si>
  <si>
    <t>BUS PASS (MUST HAVE TEACHER PERMISSION)</t>
  </si>
  <si>
    <t>MONTHLY DEPENDANT COSTS-HEALTH</t>
  </si>
  <si>
    <t>MONTHLY EMPLOYEE COST-HEALTH</t>
  </si>
  <si>
    <t>MONTHLY EMPLOYEE COST-DENTAL</t>
  </si>
  <si>
    <t>MONTHLY DEPENDANT COSTS-DENTAL</t>
  </si>
  <si>
    <t>MONTHLY EMPLOYEE COST-VISION</t>
  </si>
  <si>
    <t>MONTHLY DEPENDANT COSTS-VISION</t>
  </si>
  <si>
    <t>LOW RANGE</t>
  </si>
  <si>
    <t>HIGH RANGE</t>
  </si>
  <si>
    <t>-</t>
  </si>
  <si>
    <t xml:space="preserve"> </t>
  </si>
  <si>
    <t>YOUR COST</t>
  </si>
  <si>
    <t>MORTGAGE/RENTERS INSURANCE</t>
  </si>
  <si>
    <t>ELECTRICITY (UTILITY)</t>
  </si>
  <si>
    <t>GAS (UTILITY)</t>
  </si>
  <si>
    <t>WATER (UTILITY)</t>
  </si>
  <si>
    <t>TELEPHONE (UTILITY)</t>
  </si>
  <si>
    <t>CABLE TV (UTILITY)</t>
  </si>
  <si>
    <t>CAR INSURANCE</t>
  </si>
  <si>
    <t>CAR PAYMENT</t>
  </si>
  <si>
    <t>FOOD</t>
  </si>
  <si>
    <t>SINGLE</t>
  </si>
  <si>
    <t>NUMBER OF INFANTS</t>
  </si>
  <si>
    <t>NUMBER OF TODDLERS</t>
  </si>
  <si>
    <t>NUMBER OF TEENS</t>
  </si>
  <si>
    <t xml:space="preserve">Wedding Favors, Gifts for the Female and Male Attendants </t>
  </si>
  <si>
    <t>NUMBER OF ADULTS</t>
  </si>
  <si>
    <t>fill in  yellow areas, pink will autofill</t>
  </si>
  <si>
    <t>FULL NAME</t>
  </si>
  <si>
    <t>COMPLETE VE PURCHASES AND PRINT FOR INSTRUCTOR  - PINK BOXES WILL AUTOFILL FROM YOUR ITEMIZED SHEET</t>
  </si>
  <si>
    <t>Student ID#</t>
  </si>
  <si>
    <t xml:space="preserve">Photographer, Videographer, Albums </t>
  </si>
  <si>
    <t xml:space="preserve">DJ's, String Quartet, Band </t>
  </si>
  <si>
    <t>4. THE MALE WILL BE REQUIRED TO PAY FOR THE ENGAGEMENT RING</t>
  </si>
  <si>
    <t>MARRIAGE</t>
  </si>
  <si>
    <t>WEDDING COSTS</t>
  </si>
  <si>
    <t>LOW COST WEDDING</t>
  </si>
  <si>
    <t>MEDIUM COST WEDDING</t>
  </si>
  <si>
    <t>RECEPTION</t>
  </si>
  <si>
    <t xml:space="preserve">Food, Drinks, Location Fee </t>
  </si>
  <si>
    <t>ATTIRE</t>
  </si>
  <si>
    <t>IT IS ASSUMED THAT YOU DO NOT HAVE ANY FAMILY THAT WILL HELP YOU IN THE AREA- YOU ARE ON YOUR OWN.</t>
  </si>
  <si>
    <t>OR</t>
  </si>
  <si>
    <t>YEAR</t>
  </si>
  <si>
    <t>INTEREST RATE</t>
  </si>
  <si>
    <t>Job Title</t>
  </si>
  <si>
    <t>TEEN DEPENDANT</t>
  </si>
  <si>
    <t>ENCLOSURES</t>
    <phoneticPr fontId="25" type="noConversion"/>
  </si>
  <si>
    <t>SUPPLIES</t>
    <phoneticPr fontId="25" type="noConversion"/>
  </si>
  <si>
    <t xml:space="preserve"> </t>
    <phoneticPr fontId="25" type="noConversion"/>
  </si>
  <si>
    <t>CATS</t>
    <phoneticPr fontId="25" type="noConversion"/>
  </si>
  <si>
    <t>DOGS</t>
    <phoneticPr fontId="25" type="noConversion"/>
  </si>
  <si>
    <t>FISH</t>
    <phoneticPr fontId="25" type="noConversion"/>
  </si>
  <si>
    <t>REPTILES</t>
    <phoneticPr fontId="25" type="noConversion"/>
  </si>
  <si>
    <t>BIRDS</t>
    <phoneticPr fontId="25" type="noConversion"/>
  </si>
  <si>
    <t>TOTALS</t>
    <phoneticPr fontId="25" type="noConversion"/>
  </si>
  <si>
    <t>CATS</t>
    <phoneticPr fontId="25" type="noConversion"/>
  </si>
  <si>
    <t>DOGS</t>
    <phoneticPr fontId="25" type="noConversion"/>
  </si>
  <si>
    <t>CRITTERS</t>
    <phoneticPr fontId="25" type="noConversion"/>
  </si>
  <si>
    <t>COST PER</t>
    <phoneticPr fontId="25" type="noConversion"/>
  </si>
  <si>
    <t>TOTAL COST PER MONTH FOR ALL PETS</t>
    <phoneticPr fontId="25" type="noConversion"/>
  </si>
  <si>
    <t>PETS</t>
    <phoneticPr fontId="25" type="noConversion"/>
  </si>
  <si>
    <t>REQUIRED NUMBER OF ROOMS OF RESIDENCE</t>
    <phoneticPr fontId="25" type="noConversion"/>
  </si>
  <si>
    <t>Marketing Associate</t>
    <phoneticPr fontId="25" type="noConversion"/>
  </si>
  <si>
    <t>Administrative Associate</t>
    <phoneticPr fontId="25" type="noConversion"/>
  </si>
  <si>
    <t>Human Resources Associate</t>
    <phoneticPr fontId="25" type="noConversion"/>
  </si>
  <si>
    <t>Accounting Associate</t>
    <phoneticPr fontId="25" type="noConversion"/>
  </si>
  <si>
    <t>-</t>
    <phoneticPr fontId="25" type="noConversion"/>
  </si>
  <si>
    <t>Real World Raffle - Pay to US Bank</t>
    <phoneticPr fontId="25" type="noConversion"/>
  </si>
  <si>
    <t>CEREMONY</t>
  </si>
  <si>
    <t xml:space="preserve">Ceremony Location Fees, Officiant's Fee or Donation </t>
  </si>
  <si>
    <t>TOTAL MONTHLY PAYMENT</t>
  </si>
  <si>
    <t>Budget for:</t>
  </si>
  <si>
    <t>California VirtuCable</t>
  </si>
  <si>
    <t>IF YOU HAVE CHILDREN YOU WILL BE REQUIRED TO ADD THE FOLLOWING ADDITIONS EACH MONTH TO YOUR FINANCIAL COST</t>
  </si>
  <si>
    <t>INFANT</t>
  </si>
  <si>
    <t>IF YOU ARE SINGLE YOU WILL PAY ALL OF THESE COSTS, MARRIED COUPLES SPLIT THE COSTS</t>
  </si>
  <si>
    <t>GASOLINE</t>
  </si>
  <si>
    <t>3. YOU WILL BE REQUIRED TO PAY FOR YOUR OWN WEDDING FROM THE SELECTIONS BELOW</t>
  </si>
  <si>
    <t>VEHICLE MAKER</t>
  </si>
  <si>
    <t>OWN HOUSE</t>
  </si>
  <si>
    <t>MONTHLY PAYMENT</t>
  </si>
  <si>
    <t>TERM OF LOAN (MONTHS)</t>
  </si>
  <si>
    <t>EXTRA TRAVEL</t>
  </si>
  <si>
    <t>MUST HAVE 50.00 OR MORE LEFT IN REMAINING BOX ABOVE</t>
  </si>
  <si>
    <t>COMPANY NAME</t>
  </si>
  <si>
    <t>PRODUCT PURCHASED</t>
  </si>
  <si>
    <t>ENGAGEMENT RING  COST IS THE TOTAL OF ONE PAYCHECK (groom only)</t>
    <phoneticPr fontId="25" type="noConversion"/>
  </si>
  <si>
    <t>ENGAGEMENT RING MONTHLY COST-GROOM ONLY</t>
    <phoneticPr fontId="25" type="noConversion"/>
  </si>
  <si>
    <t>CITY, STATE, ZIP</t>
  </si>
  <si>
    <t>MILES TO CFFICE</t>
  </si>
  <si>
    <t xml:space="preserve">Marriage License, taxes, tips </t>
  </si>
  <si>
    <t>FLORAL/DECORATION</t>
  </si>
  <si>
    <t>FILL IN YELLOW AREAS THAT APPLY TO YOUR SITUATION, PINK WILL FILL AUTOMATICALLY</t>
  </si>
  <si>
    <t>GAS</t>
  </si>
  <si>
    <t>WATER</t>
  </si>
  <si>
    <t>ELECTRICITY</t>
  </si>
  <si>
    <t>MONTHLY GAS COSTS</t>
  </si>
  <si>
    <t>STATIONERY</t>
  </si>
  <si>
    <t>TOTAL  IF NOTHING PAID</t>
  </si>
  <si>
    <t>HOUSEHOLD SUPPLIES</t>
  </si>
  <si>
    <t>FOR THE MONTH OF</t>
  </si>
  <si>
    <t>TOTAL</t>
  </si>
  <si>
    <t>VirtuBank of California or VE company</t>
  </si>
  <si>
    <t>VirtuBank of California</t>
  </si>
  <si>
    <t>$6 PER MOVIE / $30 PER EVENT</t>
  </si>
  <si>
    <t>2 ADULTS</t>
  </si>
  <si>
    <t>3 ADULTS</t>
  </si>
  <si>
    <t>4 ADULTS</t>
  </si>
  <si>
    <t>1 ADULT</t>
  </si>
  <si>
    <t>LIVING SITUATION</t>
  </si>
  <si>
    <t>POSITION</t>
  </si>
  <si>
    <t>BASIC CABLE TV</t>
  </si>
  <si>
    <t>Bills for the MONTH of</t>
  </si>
  <si>
    <t>Print this sheet each month to complete your Monthly Personal Finances 13pts</t>
    <phoneticPr fontId="25" type="noConversion"/>
  </si>
  <si>
    <t>Notes:</t>
    <phoneticPr fontId="25" type="noConversion"/>
  </si>
  <si>
    <t xml:space="preserve"> </t>
    <phoneticPr fontId="25" type="noConversion"/>
  </si>
  <si>
    <t>COMPANY NAME</t>
    <phoneticPr fontId="25" type="noConversion"/>
  </si>
  <si>
    <t>PURCHASE 1</t>
    <phoneticPr fontId="25" type="noConversion"/>
  </si>
  <si>
    <t>PURCHASE 2</t>
  </si>
  <si>
    <t>PURCHASE 3</t>
  </si>
  <si>
    <t>PURCHASE 4</t>
  </si>
  <si>
    <t>VE COMPANY PURCHASES-20PTS EACH MONTH</t>
    <phoneticPr fontId="25" type="noConversion"/>
  </si>
  <si>
    <t>Find Your Miles Per Gallon-Gasoline : CLICK HERE   ----&gt;</t>
    <phoneticPr fontId="25" type="noConversion"/>
  </si>
  <si>
    <t>Assistants</t>
  </si>
  <si>
    <t>YEARLY RANGE FOR PAY</t>
  </si>
  <si>
    <t>www.bankrate.com</t>
  </si>
  <si>
    <t>REQUIRED FIXED MONTHLY LIVING EXPENSES</t>
  </si>
  <si>
    <t>BEDROOMS</t>
  </si>
  <si>
    <t>HOMEOWNERS INSURANCE</t>
  </si>
  <si>
    <t>ASSOCIATION FEES</t>
  </si>
  <si>
    <t>FIRE INSURANCE</t>
  </si>
  <si>
    <t>RECREATIONAL VEHICLE</t>
  </si>
  <si>
    <t>ELECTRONICS</t>
  </si>
  <si>
    <t>LODGING</t>
  </si>
  <si>
    <t>PAY TO…………</t>
  </si>
  <si>
    <t>COST</t>
  </si>
  <si>
    <t>MUSIC/VIDEO/DVD</t>
  </si>
  <si>
    <t>SPORTING GOODS</t>
  </si>
  <si>
    <t>CAR/TRUCK/MOTORCYCLE</t>
  </si>
  <si>
    <t>WATCHES</t>
  </si>
  <si>
    <t>COSMETICS</t>
  </si>
  <si>
    <t>MEDICAL</t>
  </si>
  <si>
    <t>EYE CARE</t>
  </si>
  <si>
    <t>VP Human Resources</t>
  </si>
  <si>
    <t>www.mapblast.com</t>
  </si>
  <si>
    <t>Find Number Miles From Work (Century High)</t>
  </si>
  <si>
    <t>MILES FROM CHS</t>
  </si>
  <si>
    <t>FAMILY UNIT</t>
  </si>
  <si>
    <t>DEPENDENT ADDITION</t>
  </si>
  <si>
    <t>APARTMENT, CONDO OR HOUSE</t>
    <phoneticPr fontId="25" type="noConversion"/>
  </si>
  <si>
    <t>WEDDING COSTS-SEE MARRIAGE TAB</t>
    <phoneticPr fontId="25" type="noConversion"/>
  </si>
  <si>
    <t xml:space="preserve">PURCHASE PRICE IF YOU OWN </t>
    <phoneticPr fontId="25" type="noConversion"/>
  </si>
  <si>
    <t>TRANSPORTATION</t>
    <phoneticPr fontId="25" type="noConversion"/>
  </si>
  <si>
    <t>DOUBLE PHONE BILL, CAR INSURANCE</t>
  </si>
  <si>
    <t>VEHICLE MODEL</t>
  </si>
  <si>
    <t>CHILDCARE</t>
  </si>
  <si>
    <t>WEDDING COST</t>
  </si>
  <si>
    <t>TOTAL FIXED EXPENSES</t>
  </si>
  <si>
    <t>W/PRE-TEEN</t>
  </si>
  <si>
    <t>GASOLINE ADDITION</t>
  </si>
  <si>
    <t>Average Gas Prices for Orange County</t>
  </si>
  <si>
    <t>ENTERTAINMENT</t>
  </si>
  <si>
    <t>INVESTMENTS</t>
  </si>
  <si>
    <t xml:space="preserve">Wedding Invitations, RSVP Cards, Thank You Cards </t>
  </si>
  <si>
    <t>RINGS</t>
  </si>
  <si>
    <t xml:space="preserve">% </t>
  </si>
  <si>
    <t>HOUSING-TRANSPORTATION SHEET</t>
  </si>
  <si>
    <t>Find Your Miles Per Gallon-Gasoline</t>
  </si>
  <si>
    <t>Find Your Vehicle Monthly Payment</t>
  </si>
  <si>
    <t>PAY PER VIEW</t>
  </si>
  <si>
    <t>CELL PHONE</t>
  </si>
  <si>
    <t>DINING OUT</t>
  </si>
  <si>
    <t>TRAVELING</t>
  </si>
  <si>
    <t>AFFORDABILITY</t>
  </si>
  <si>
    <t>HOUSING INFORMATION</t>
  </si>
  <si>
    <t>ADDRESS</t>
  </si>
  <si>
    <t>CITY</t>
  </si>
  <si>
    <t>PRE-TEEN</t>
  </si>
  <si>
    <t>TEEN</t>
  </si>
  <si>
    <t>Don’t not pay, deducted from payroll monthly</t>
    <phoneticPr fontId="25" type="noConversion"/>
  </si>
  <si>
    <t>Credit Card Purchases - Pay to US Bank</t>
    <phoneticPr fontId="25" type="noConversion"/>
  </si>
  <si>
    <t>California VirtuGas</t>
  </si>
  <si>
    <t>California VirtuWater</t>
  </si>
  <si>
    <t>California VirtuTelephone</t>
  </si>
  <si>
    <t>California VirtuInternet</t>
  </si>
  <si>
    <t>California VirtuElectric</t>
  </si>
  <si>
    <t>MONTHLY INSURANCE TOTAL</t>
    <phoneticPr fontId="25" type="noConversion"/>
  </si>
  <si>
    <t>TOTAL EMPLOYEE COSTS</t>
    <phoneticPr fontId="25" type="noConversion"/>
  </si>
  <si>
    <t>Chief Financial Officer (CFO)</t>
  </si>
  <si>
    <t>TRANSPORTATION</t>
  </si>
  <si>
    <t xml:space="preserve"> </t>
    <phoneticPr fontId="25" type="noConversion"/>
  </si>
  <si>
    <t>5. YOU WILL BE REQUIRED TO A HONEYMOON THAT MUST BE BOOKED THROUGH A VIRTUAL TRAVEL COMPANY FOR 3 DAYS OF MORE</t>
  </si>
  <si>
    <t>DEPENDANTS</t>
  </si>
  <si>
    <t>ESTIMATED NET PAY PER CHECK</t>
    <phoneticPr fontId="25" type="noConversion"/>
  </si>
  <si>
    <t>CABLE TV &amp; INTERNET (UTILITY)</t>
    <phoneticPr fontId="15"/>
  </si>
  <si>
    <t>revised 3/18/12</t>
    <phoneticPr fontId="15"/>
  </si>
  <si>
    <t xml:space="preserve"> </t>
    <phoneticPr fontId="15"/>
  </si>
  <si>
    <t xml:space="preserve"> </t>
    <phoneticPr fontId="25" type="noConversion"/>
  </si>
  <si>
    <t xml:space="preserve"> </t>
    <phoneticPr fontId="25" type="noConversion"/>
  </si>
  <si>
    <t xml:space="preserve"> </t>
    <phoneticPr fontId="25" type="noConversion"/>
  </si>
  <si>
    <t>PETS</t>
    <phoneticPr fontId="25" type="noConversion"/>
  </si>
  <si>
    <t>FISH TANKS</t>
    <phoneticPr fontId="25" type="noConversion"/>
  </si>
  <si>
    <t>REPTILES</t>
    <phoneticPr fontId="25" type="noConversion"/>
  </si>
  <si>
    <t>BIRDS</t>
    <phoneticPr fontId="25" type="noConversion"/>
  </si>
  <si>
    <t>Total Pets</t>
    <phoneticPr fontId="25" type="noConversion"/>
  </si>
  <si>
    <t>Children</t>
    <phoneticPr fontId="25" type="noConversion"/>
  </si>
  <si>
    <t>Pets</t>
    <phoneticPr fontId="25" type="noConversion"/>
  </si>
  <si>
    <t>PET FOOD</t>
    <phoneticPr fontId="25" type="noConversion"/>
  </si>
  <si>
    <t>TOYS</t>
    <phoneticPr fontId="25" type="noConversion"/>
  </si>
  <si>
    <t>MONTHLY GROSS PAY RANGES</t>
    <phoneticPr fontId="25" type="noConversion"/>
  </si>
  <si>
    <t>MONTHLY NET PAY RANGES</t>
    <phoneticPr fontId="25" type="noConversion"/>
  </si>
  <si>
    <t>-</t>
    <phoneticPr fontId="25" type="noConversion"/>
  </si>
  <si>
    <t>-</t>
    <phoneticPr fontId="25" type="noConversion"/>
  </si>
  <si>
    <t>Company Leadership can not live with associates unless they are married</t>
    <phoneticPr fontId="25" type="noConversion"/>
  </si>
  <si>
    <t>monthly cost</t>
    <phoneticPr fontId="25" type="noConversion"/>
  </si>
  <si>
    <t>FLEXIBLE MONTHLY LIVING EXPENSES</t>
    <phoneticPr fontId="25" type="noConversion"/>
  </si>
  <si>
    <t>REMAINING LEFT FOR SAVINGS</t>
    <phoneticPr fontId="25" type="noConversion"/>
  </si>
  <si>
    <t>TOTAL</t>
    <phoneticPr fontId="25" type="noConversion"/>
  </si>
  <si>
    <t>TOTAL EXPENSES FOR THE MONTH</t>
    <phoneticPr fontId="25" type="noConversion"/>
  </si>
  <si>
    <t>VE PURCHASES- purchase from 4 different companies each month-20pts</t>
    <phoneticPr fontId="25" type="noConversion"/>
  </si>
  <si>
    <t>Attach the raffle slips to the back of this sheet 20pts</t>
    <phoneticPr fontId="25" type="noConversion"/>
  </si>
  <si>
    <t>YOUR MONTHLY PAYMENT</t>
    <phoneticPr fontId="25" type="noConversion"/>
  </si>
  <si>
    <t xml:space="preserve">YEAR </t>
    <phoneticPr fontId="25" type="noConversion"/>
  </si>
  <si>
    <t xml:space="preserve">INTEREST RATE </t>
    <phoneticPr fontId="25" type="noConversion"/>
  </si>
  <si>
    <t>CURRENT GAS PRICE/PER GALLON</t>
    <phoneticPr fontId="25" type="noConversion"/>
  </si>
  <si>
    <t>MONTHLY GASOLINE COSTS</t>
    <phoneticPr fontId="25" type="noConversion"/>
  </si>
  <si>
    <t>VEHICLE INSURANCE COST-MONTHLY</t>
    <phoneticPr fontId="25" type="noConversion"/>
  </si>
  <si>
    <t>HEALTH CARE</t>
    <phoneticPr fontId="25" type="noConversion"/>
  </si>
  <si>
    <t>revised 3/18/12</t>
    <phoneticPr fontId="25" type="noConversion"/>
  </si>
  <si>
    <t xml:space="preserve"> </t>
    <phoneticPr fontId="25" type="noConversion"/>
  </si>
  <si>
    <t xml:space="preserve"> </t>
    <phoneticPr fontId="25" type="noConversion"/>
  </si>
  <si>
    <t>Average Gas Prices for Orange County CLICK HERE   ----&gt;</t>
    <phoneticPr fontId="25" type="noConversion"/>
  </si>
  <si>
    <t>Find Number Miles From Work (Century High) CLICK HERE   ----&gt;</t>
    <phoneticPr fontId="25" type="noConversion"/>
  </si>
  <si>
    <t>IF YOU CHOOSE TO BE MARRIED IN THE FINANCES SIMULATION YOU WILL BE REQUIRED TO DO THE FOLLOWING ITEMS:</t>
  </si>
  <si>
    <t>1. FILE INCOME TAXES JOINTLY AS A MARRIED COUPLE</t>
  </si>
  <si>
    <t>2. MARRIAGE IS ONLY LEGAL FOR OPPOSITE SEX PARTNERS</t>
  </si>
  <si>
    <t>BIRTHDAY</t>
  </si>
  <si>
    <t>HOLIDAY</t>
  </si>
  <si>
    <t>SPECIAL EVENT</t>
  </si>
  <si>
    <t>MISHAP</t>
  </si>
  <si>
    <t>HOME REPAIR</t>
  </si>
  <si>
    <t>AUTO REPAIR</t>
  </si>
  <si>
    <t>FURNITURE</t>
  </si>
  <si>
    <t>COMPUTER</t>
  </si>
  <si>
    <t>ESTIMATED GROSS PAY PER CHECK</t>
  </si>
  <si>
    <t>Note: Use the salary tab to determine monthly gross pay</t>
  </si>
  <si>
    <t>Note: Use the salary tab to determine the monthly net pay.</t>
  </si>
  <si>
    <r>
      <t xml:space="preserve">use the numbers in </t>
    </r>
    <r>
      <rPr>
        <b/>
        <sz val="9"/>
        <rFont val="Geneva"/>
      </rPr>
      <t>bold</t>
    </r>
    <r>
      <rPr>
        <sz val="9"/>
        <rFont val="Geneva"/>
      </rPr>
      <t xml:space="preserve"> to the right in this area for the monthly gross salary on your information tab</t>
    </r>
  </si>
  <si>
    <r>
      <t xml:space="preserve">use the numbers in </t>
    </r>
    <r>
      <rPr>
        <b/>
        <sz val="9"/>
        <rFont val="Geneva"/>
      </rPr>
      <t>bold</t>
    </r>
    <r>
      <rPr>
        <sz val="9"/>
        <rFont val="Geneva"/>
      </rPr>
      <t xml:space="preserve"> to the right in this area for the monthly net salary on your information tab</t>
    </r>
  </si>
  <si>
    <t>TOTAL DEPENDENTS</t>
  </si>
  <si>
    <t>MARITAL STATUS</t>
  </si>
  <si>
    <t>&lt;-- SELECT ONE</t>
  </si>
  <si>
    <t>SPOUSE'S JOB</t>
  </si>
  <si>
    <t>SPOUSE'S MONTHLY INCOME</t>
  </si>
  <si>
    <t>SOCIAL SECURITY NUMBER</t>
  </si>
  <si>
    <t>MONTHLY GROSS SALARY</t>
  </si>
  <si>
    <r>
      <t>ADDIT</t>
    </r>
    <r>
      <rPr>
        <sz val="9"/>
        <rFont val="Geneva"/>
      </rPr>
      <t>I</t>
    </r>
    <r>
      <rPr>
        <sz val="9"/>
        <rFont val="Geneva"/>
      </rPr>
      <t>ON FOR MOTORCYCLE</t>
    </r>
  </si>
  <si>
    <t>MINIMUM HONEYMOON BUDGET COSTS</t>
  </si>
  <si>
    <t>Children</t>
  </si>
  <si>
    <t>Pets</t>
  </si>
  <si>
    <t>Type in the amount in the pink box if you ride</t>
  </si>
  <si>
    <t>PETS</t>
  </si>
  <si>
    <t>TOTAL MONTHLY  RENT PAYMENT</t>
  </si>
  <si>
    <t>MONTHLY MORTGAGE PAYMENT</t>
  </si>
  <si>
    <t>FOR  RENTING A N APARTMENT, CONDO OR HOUSE</t>
  </si>
  <si>
    <t>RENTERS INSURANCE</t>
  </si>
  <si>
    <r>
      <t>LEFT TO SPEND</t>
    </r>
    <r>
      <rPr>
        <sz val="9"/>
        <rFont val="Geneva"/>
      </rPr>
      <t xml:space="preserve">                    </t>
    </r>
    <r>
      <rPr>
        <sz val="8"/>
        <rFont val="Geneva"/>
      </rPr>
      <t>must be below $10.00, For each 10.00 you will get a -1 deduction on your grade.This amount should be different every month</t>
    </r>
    <r>
      <rPr>
        <sz val="9"/>
        <rFont val="Geneva"/>
      </rPr>
      <t xml:space="preserve"> </t>
    </r>
  </si>
  <si>
    <t>FINAL VEHICLE COST</t>
  </si>
  <si>
    <t>REVISED 10/14/13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</si>
</sst>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36" x14ac:knownFonts="1">
    <font>
      <sz val="9"/>
      <name val="Geneva"/>
    </font>
    <font>
      <b/>
      <sz val="9"/>
      <name val="Geneva"/>
    </font>
    <font>
      <i/>
      <sz val="9"/>
      <name val="Geneva"/>
    </font>
    <font>
      <sz val="9"/>
      <name val="Geneva"/>
    </font>
    <font>
      <b/>
      <sz val="12"/>
      <name val="Arial"/>
    </font>
    <font>
      <sz val="9"/>
      <name val="Arial"/>
    </font>
    <font>
      <b/>
      <sz val="24"/>
      <name val="Arial"/>
    </font>
    <font>
      <b/>
      <sz val="9"/>
      <name val="Arial"/>
    </font>
    <font>
      <sz val="12"/>
      <name val="Arial"/>
    </font>
    <font>
      <b/>
      <sz val="10"/>
      <name val="Arial"/>
      <family val="2"/>
    </font>
    <font>
      <sz val="10"/>
      <name val="Geneva"/>
    </font>
    <font>
      <sz val="9"/>
      <name val="Geneva"/>
    </font>
    <font>
      <u/>
      <sz val="9"/>
      <color indexed="12"/>
      <name val="Geneva"/>
    </font>
    <font>
      <sz val="12"/>
      <name val="Geneva"/>
    </font>
    <font>
      <b/>
      <sz val="12"/>
      <name val="Geneva"/>
    </font>
    <font>
      <sz val="8"/>
      <name val="Geneva"/>
    </font>
    <font>
      <sz val="10"/>
      <name val="Arial"/>
    </font>
    <font>
      <sz val="7"/>
      <name val="Geneva"/>
    </font>
    <font>
      <sz val="24"/>
      <name val="Geneva"/>
    </font>
    <font>
      <b/>
      <sz val="14"/>
      <name val="Geneva"/>
    </font>
    <font>
      <b/>
      <sz val="24"/>
      <name val="Geneva"/>
    </font>
    <font>
      <sz val="18"/>
      <name val="Geneva"/>
    </font>
    <font>
      <b/>
      <sz val="14"/>
      <name val="Arial"/>
    </font>
    <font>
      <sz val="14"/>
      <name val="Arial"/>
    </font>
    <font>
      <sz val="9"/>
      <color indexed="9"/>
      <name val="Geneva"/>
    </font>
    <font>
      <sz val="8"/>
      <name val="Verdana"/>
    </font>
    <font>
      <sz val="8"/>
      <name val="Arial"/>
    </font>
    <font>
      <b/>
      <sz val="10"/>
      <name val="Geneva"/>
    </font>
    <font>
      <sz val="10"/>
      <color indexed="9"/>
      <name val="Arial"/>
    </font>
    <font>
      <b/>
      <sz val="11"/>
      <name val="Geneva"/>
    </font>
    <font>
      <sz val="11"/>
      <name val="Geneva"/>
    </font>
    <font>
      <sz val="14"/>
      <color indexed="10"/>
      <name val="Geneva"/>
    </font>
    <font>
      <sz val="14"/>
      <color indexed="9"/>
      <name val="Geneva"/>
    </font>
    <font>
      <sz val="9"/>
      <color indexed="10"/>
      <name val="Geneva"/>
    </font>
    <font>
      <b/>
      <sz val="8"/>
      <name val="Arial"/>
    </font>
    <font>
      <u/>
      <sz val="9"/>
      <color theme="11"/>
      <name val="Geneva"/>
    </font>
  </fonts>
  <fills count="2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rgb="FF00000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400">
    <xf numFmtId="0" fontId="0" fillId="0" borderId="0" xfId="0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2" borderId="1" xfId="0" applyFont="1" applyFill="1" applyBorder="1"/>
    <xf numFmtId="2" fontId="5" fillId="0" borderId="0" xfId="0" applyNumberFormat="1" applyFont="1"/>
    <xf numFmtId="0" fontId="10" fillId="0" borderId="0" xfId="0" applyFont="1"/>
    <xf numFmtId="0" fontId="11" fillId="0" borderId="0" xfId="0" applyFont="1"/>
    <xf numFmtId="164" fontId="0" fillId="0" borderId="0" xfId="0" applyNumberFormat="1"/>
    <xf numFmtId="0" fontId="14" fillId="0" borderId="0" xfId="0" applyFont="1" applyFill="1"/>
    <xf numFmtId="0" fontId="3" fillId="0" borderId="0" xfId="0" applyFont="1"/>
    <xf numFmtId="164" fontId="0" fillId="3" borderId="2" xfId="0" applyNumberFormat="1" applyFill="1" applyBorder="1"/>
    <xf numFmtId="164" fontId="0" fillId="3" borderId="2" xfId="0" applyNumberFormat="1" applyFill="1" applyBorder="1" applyProtection="1"/>
    <xf numFmtId="164" fontId="0" fillId="4" borderId="2" xfId="0" applyNumberFormat="1" applyFill="1" applyBorder="1" applyProtection="1">
      <protection locked="0"/>
    </xf>
    <xf numFmtId="10" fontId="0" fillId="4" borderId="2" xfId="0" applyNumberFormat="1" applyFill="1" applyBorder="1" applyProtection="1">
      <protection locked="0"/>
    </xf>
    <xf numFmtId="0" fontId="16" fillId="0" borderId="0" xfId="0" applyFont="1"/>
    <xf numFmtId="0" fontId="16" fillId="3" borderId="2" xfId="0" applyFont="1" applyFill="1" applyBorder="1" applyProtection="1"/>
    <xf numFmtId="0" fontId="16" fillId="2" borderId="1" xfId="0" applyFont="1" applyFill="1" applyBorder="1"/>
    <xf numFmtId="0" fontId="9" fillId="2" borderId="1" xfId="0" applyFont="1" applyFill="1" applyBorder="1"/>
    <xf numFmtId="164" fontId="16" fillId="3" borderId="2" xfId="0" applyNumberFormat="1" applyFont="1" applyFill="1" applyBorder="1" applyProtection="1"/>
    <xf numFmtId="4" fontId="16" fillId="3" borderId="2" xfId="0" applyNumberFormat="1" applyFont="1" applyFill="1" applyBorder="1" applyProtection="1"/>
    <xf numFmtId="4" fontId="16" fillId="0" borderId="0" xfId="0" applyNumberFormat="1" applyFont="1" applyProtection="1"/>
    <xf numFmtId="4" fontId="16" fillId="2" borderId="3" xfId="0" applyNumberFormat="1" applyFont="1" applyFill="1" applyBorder="1" applyProtection="1"/>
    <xf numFmtId="4" fontId="9" fillId="3" borderId="2" xfId="0" applyNumberFormat="1" applyFont="1" applyFill="1" applyBorder="1" applyProtection="1"/>
    <xf numFmtId="0" fontId="18" fillId="0" borderId="0" xfId="0" applyFont="1"/>
    <xf numFmtId="0" fontId="13" fillId="0" borderId="0" xfId="0" applyFont="1"/>
    <xf numFmtId="164" fontId="0" fillId="2" borderId="0" xfId="0" applyNumberFormat="1" applyFill="1"/>
    <xf numFmtId="164" fontId="0" fillId="3" borderId="0" xfId="0" applyNumberFormat="1" applyFill="1"/>
    <xf numFmtId="0" fontId="0" fillId="3" borderId="4" xfId="0" applyFill="1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2" borderId="8" xfId="0" applyNumberFormat="1" applyFill="1" applyBorder="1"/>
    <xf numFmtId="0" fontId="2" fillId="0" borderId="0" xfId="0" applyFont="1"/>
    <xf numFmtId="0" fontId="19" fillId="0" borderId="0" xfId="0" applyFont="1"/>
    <xf numFmtId="0" fontId="20" fillId="0" borderId="0" xfId="0" applyFont="1"/>
    <xf numFmtId="0" fontId="0" fillId="5" borderId="5" xfId="0" applyFill="1" applyBorder="1"/>
    <xf numFmtId="164" fontId="0" fillId="5" borderId="6" xfId="0" applyNumberFormat="1" applyFill="1" applyBorder="1"/>
    <xf numFmtId="0" fontId="0" fillId="6" borderId="0" xfId="0" applyFill="1"/>
    <xf numFmtId="164" fontId="0" fillId="6" borderId="0" xfId="0" applyNumberFormat="1" applyFill="1"/>
    <xf numFmtId="0" fontId="0" fillId="7" borderId="0" xfId="0" applyFill="1"/>
    <xf numFmtId="164" fontId="0" fillId="7" borderId="0" xfId="0" applyNumberFormat="1" applyFill="1"/>
    <xf numFmtId="0" fontId="1" fillId="3" borderId="9" xfId="0" applyFont="1" applyFill="1" applyBorder="1"/>
    <xf numFmtId="0" fontId="1" fillId="3" borderId="0" xfId="0" applyFont="1" applyFill="1"/>
    <xf numFmtId="164" fontId="11" fillId="4" borderId="2" xfId="0" applyNumberFormat="1" applyFont="1" applyFill="1" applyBorder="1" applyProtection="1">
      <protection locked="0"/>
    </xf>
    <xf numFmtId="0" fontId="11" fillId="4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164" fontId="16" fillId="0" borderId="0" xfId="0" applyNumberFormat="1" applyFont="1" applyProtection="1"/>
    <xf numFmtId="0" fontId="0" fillId="2" borderId="1" xfId="0" applyFill="1" applyBorder="1"/>
    <xf numFmtId="0" fontId="0" fillId="0" borderId="0" xfId="0" applyProtection="1"/>
    <xf numFmtId="0" fontId="11" fillId="0" borderId="2" xfId="0" applyFont="1" applyFill="1" applyBorder="1" applyProtection="1"/>
    <xf numFmtId="0" fontId="0" fillId="0" borderId="2" xfId="0" applyFill="1" applyBorder="1" applyProtection="1"/>
    <xf numFmtId="0" fontId="5" fillId="0" borderId="0" xfId="0" applyFont="1" applyProtection="1"/>
    <xf numFmtId="0" fontId="7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10" fillId="0" borderId="0" xfId="0" applyFont="1" applyProtection="1"/>
    <xf numFmtId="0" fontId="5" fillId="8" borderId="10" xfId="0" applyFont="1" applyFill="1" applyBorder="1" applyProtection="1"/>
    <xf numFmtId="0" fontId="7" fillId="8" borderId="10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7" fillId="8" borderId="1" xfId="0" applyFont="1" applyFill="1" applyBorder="1" applyProtection="1"/>
    <xf numFmtId="0" fontId="5" fillId="8" borderId="11" xfId="0" applyFont="1" applyFill="1" applyBorder="1" applyProtection="1"/>
    <xf numFmtId="0" fontId="5" fillId="8" borderId="11" xfId="0" applyFont="1" applyFill="1" applyBorder="1" applyAlignment="1" applyProtection="1">
      <alignment horizontal="center" vertical="center"/>
    </xf>
    <xf numFmtId="4" fontId="0" fillId="9" borderId="12" xfId="0" applyNumberFormat="1" applyFill="1" applyBorder="1" applyAlignment="1" applyProtection="1">
      <alignment horizontal="right"/>
    </xf>
    <xf numFmtId="4" fontId="0" fillId="9" borderId="12" xfId="0" applyNumberFormat="1" applyFill="1" applyBorder="1" applyProtection="1"/>
    <xf numFmtId="0" fontId="7" fillId="8" borderId="3" xfId="0" applyFont="1" applyFill="1" applyBorder="1" applyAlignment="1" applyProtection="1">
      <alignment horizontal="right"/>
    </xf>
    <xf numFmtId="0" fontId="8" fillId="0" borderId="0" xfId="0" applyFont="1" applyProtection="1"/>
    <xf numFmtId="0" fontId="4" fillId="0" borderId="0" xfId="0" applyFont="1" applyProtection="1"/>
    <xf numFmtId="4" fontId="8" fillId="0" borderId="0" xfId="0" applyNumberFormat="1" applyFont="1" applyProtection="1"/>
    <xf numFmtId="4" fontId="8" fillId="0" borderId="0" xfId="0" applyNumberFormat="1" applyFont="1" applyAlignment="1" applyProtection="1">
      <alignment horizontal="center" vertical="center"/>
    </xf>
    <xf numFmtId="0" fontId="16" fillId="0" borderId="0" xfId="0" applyFont="1" applyProtection="1"/>
    <xf numFmtId="9" fontId="9" fillId="8" borderId="0" xfId="0" applyNumberFormat="1" applyFont="1" applyFill="1" applyProtection="1"/>
    <xf numFmtId="164" fontId="16" fillId="2" borderId="0" xfId="0" applyNumberFormat="1" applyFont="1" applyFill="1" applyProtection="1"/>
    <xf numFmtId="4" fontId="16" fillId="2" borderId="0" xfId="0" applyNumberFormat="1" applyFont="1" applyFill="1" applyAlignment="1" applyProtection="1">
      <alignment horizontal="center" vertical="center"/>
    </xf>
    <xf numFmtId="4" fontId="16" fillId="0" borderId="0" xfId="0" applyNumberFormat="1" applyFont="1" applyAlignment="1" applyProtection="1">
      <alignment horizontal="center" vertical="center"/>
    </xf>
    <xf numFmtId="4" fontId="0" fillId="0" borderId="0" xfId="0" applyNumberFormat="1" applyProtection="1"/>
    <xf numFmtId="0" fontId="16" fillId="0" borderId="0" xfId="0" applyFont="1" applyAlignment="1" applyProtection="1">
      <alignment horizontal="center" vertical="center"/>
    </xf>
    <xf numFmtId="0" fontId="9" fillId="10" borderId="1" xfId="0" applyFont="1" applyFill="1" applyBorder="1" applyProtection="1"/>
    <xf numFmtId="0" fontId="16" fillId="10" borderId="13" xfId="0" applyFont="1" applyFill="1" applyBorder="1" applyProtection="1"/>
    <xf numFmtId="164" fontId="16" fillId="2" borderId="0" xfId="0" applyNumberFormat="1" applyFont="1" applyFill="1" applyAlignment="1" applyProtection="1">
      <alignment horizontal="center" vertical="center"/>
    </xf>
    <xf numFmtId="164" fontId="0" fillId="0" borderId="0" xfId="0" applyNumberFormat="1" applyProtection="1"/>
    <xf numFmtId="0" fontId="13" fillId="0" borderId="0" xfId="0" applyFont="1" applyFill="1" applyProtection="1"/>
    <xf numFmtId="0" fontId="14" fillId="0" borderId="0" xfId="0" applyFont="1" applyFill="1" applyProtection="1"/>
    <xf numFmtId="0" fontId="0" fillId="0" borderId="0" xfId="0" applyFill="1" applyProtection="1"/>
    <xf numFmtId="1" fontId="0" fillId="0" borderId="0" xfId="0" applyNumberFormat="1" applyProtection="1"/>
    <xf numFmtId="2" fontId="0" fillId="0" borderId="0" xfId="0" applyNumberFormat="1" applyProtection="1"/>
    <xf numFmtId="164" fontId="0" fillId="0" borderId="0" xfId="0" applyNumberFormat="1" applyAlignment="1" applyProtection="1">
      <alignment horizontal="right"/>
    </xf>
    <xf numFmtId="0" fontId="1" fillId="10" borderId="0" xfId="0" applyFont="1" applyFill="1" applyProtection="1"/>
    <xf numFmtId="0" fontId="12" fillId="0" borderId="0" xfId="1" applyAlignment="1" applyProtection="1"/>
    <xf numFmtId="164" fontId="14" fillId="0" borderId="0" xfId="0" applyNumberFormat="1" applyFont="1" applyAlignment="1" applyProtection="1">
      <alignment horizontal="center"/>
    </xf>
    <xf numFmtId="164" fontId="11" fillId="3" borderId="2" xfId="0" applyNumberFormat="1" applyFont="1" applyFill="1" applyBorder="1" applyProtection="1"/>
    <xf numFmtId="0" fontId="0" fillId="3" borderId="2" xfId="0" applyFill="1" applyBorder="1"/>
    <xf numFmtId="4" fontId="0" fillId="9" borderId="0" xfId="0" applyNumberFormat="1" applyFill="1" applyBorder="1" applyAlignment="1" applyProtection="1">
      <alignment horizontal="right"/>
    </xf>
    <xf numFmtId="4" fontId="0" fillId="9" borderId="0" xfId="0" applyNumberFormat="1" applyFill="1" applyBorder="1" applyProtection="1"/>
    <xf numFmtId="4" fontId="0" fillId="9" borderId="11" xfId="0" applyNumberFormat="1" applyFill="1" applyBorder="1" applyAlignment="1" applyProtection="1">
      <alignment horizontal="right"/>
    </xf>
    <xf numFmtId="4" fontId="0" fillId="9" borderId="11" xfId="0" applyNumberFormat="1" applyFill="1" applyBorder="1" applyProtection="1"/>
    <xf numFmtId="0" fontId="0" fillId="4" borderId="1" xfId="0" applyFill="1" applyBorder="1" applyProtection="1"/>
    <xf numFmtId="0" fontId="0" fillId="4" borderId="13" xfId="0" applyFill="1" applyBorder="1" applyProtection="1"/>
    <xf numFmtId="0" fontId="0" fillId="4" borderId="13" xfId="0" applyFill="1" applyBorder="1" applyAlignment="1" applyProtection="1">
      <alignment horizontal="center"/>
    </xf>
    <xf numFmtId="0" fontId="0" fillId="4" borderId="3" xfId="0" applyFill="1" applyBorder="1" applyProtection="1"/>
    <xf numFmtId="0" fontId="0" fillId="2" borderId="9" xfId="0" applyFill="1" applyBorder="1" applyProtection="1"/>
    <xf numFmtId="0" fontId="0" fillId="2" borderId="5" xfId="0" applyFill="1" applyBorder="1" applyProtection="1"/>
    <xf numFmtId="0" fontId="0" fillId="2" borderId="7" xfId="0" applyFill="1" applyBorder="1" applyProtection="1"/>
    <xf numFmtId="0" fontId="0" fillId="2" borderId="4" xfId="0" applyFill="1" applyBorder="1" applyProtection="1"/>
    <xf numFmtId="0" fontId="0" fillId="2" borderId="6" xfId="0" applyFill="1" applyBorder="1" applyProtection="1"/>
    <xf numFmtId="0" fontId="0" fillId="2" borderId="8" xfId="0" applyFill="1" applyBorder="1" applyProtection="1"/>
    <xf numFmtId="0" fontId="1" fillId="0" borderId="0" xfId="0" applyFont="1"/>
    <xf numFmtId="8" fontId="0" fillId="3" borderId="2" xfId="0" applyNumberFormat="1" applyFill="1" applyBorder="1" applyProtection="1"/>
    <xf numFmtId="0" fontId="0" fillId="0" borderId="2" xfId="0" applyBorder="1"/>
    <xf numFmtId="0" fontId="0" fillId="2" borderId="0" xfId="0" applyFill="1"/>
    <xf numFmtId="164" fontId="0" fillId="3" borderId="2" xfId="0" applyNumberFormat="1" applyFill="1" applyBorder="1" applyAlignment="1">
      <alignment shrinkToFit="1"/>
    </xf>
    <xf numFmtId="0" fontId="6" fillId="0" borderId="0" xfId="0" applyFont="1" applyProtection="1"/>
    <xf numFmtId="0" fontId="11" fillId="0" borderId="0" xfId="0" applyFont="1" applyProtection="1"/>
    <xf numFmtId="164" fontId="11" fillId="0" borderId="0" xfId="0" applyNumberFormat="1" applyFont="1" applyProtection="1"/>
    <xf numFmtId="164" fontId="11" fillId="3" borderId="2" xfId="0" applyNumberFormat="1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horizontal="left"/>
    </xf>
    <xf numFmtId="0" fontId="11" fillId="4" borderId="2" xfId="0" applyFont="1" applyFill="1" applyBorder="1" applyProtection="1"/>
    <xf numFmtId="164" fontId="3" fillId="3" borderId="2" xfId="0" applyNumberFormat="1" applyFont="1" applyFill="1" applyBorder="1" applyProtection="1"/>
    <xf numFmtId="0" fontId="10" fillId="0" borderId="0" xfId="0" applyFont="1" applyAlignment="1" applyProtection="1">
      <alignment horizontal="right"/>
    </xf>
    <xf numFmtId="0" fontId="19" fillId="0" borderId="0" xfId="0" applyFont="1" applyProtection="1"/>
    <xf numFmtId="8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164" fontId="8" fillId="0" borderId="0" xfId="0" applyNumberFormat="1" applyFont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/>
    <xf numFmtId="164" fontId="0" fillId="8" borderId="2" xfId="0" applyNumberFormat="1" applyFill="1" applyBorder="1" applyProtection="1"/>
    <xf numFmtId="164" fontId="0" fillId="3" borderId="2" xfId="0" applyNumberFormat="1" applyFill="1" applyBorder="1" applyProtection="1">
      <protection locked="0"/>
    </xf>
    <xf numFmtId="0" fontId="0" fillId="0" borderId="0" xfId="0" applyAlignment="1">
      <alignment horizontal="left"/>
    </xf>
    <xf numFmtId="1" fontId="0" fillId="0" borderId="0" xfId="0" applyNumberFormat="1" applyFill="1" applyBorder="1"/>
    <xf numFmtId="0" fontId="0" fillId="0" borderId="0" xfId="0" applyFill="1"/>
    <xf numFmtId="49" fontId="0" fillId="0" borderId="0" xfId="0" applyNumberFormat="1" applyFill="1" applyBorder="1" applyAlignment="1"/>
    <xf numFmtId="164" fontId="24" fillId="0" borderId="0" xfId="0" applyNumberFormat="1" applyFont="1" applyFill="1" applyBorder="1" applyProtection="1"/>
    <xf numFmtId="0" fontId="1" fillId="0" borderId="0" xfId="0" applyFont="1" applyProtection="1"/>
    <xf numFmtId="164" fontId="0" fillId="0" borderId="0" xfId="0" applyNumberFormat="1" applyFill="1" applyBorder="1" applyAlignment="1"/>
    <xf numFmtId="0" fontId="14" fillId="0" borderId="0" xfId="0" applyFont="1" applyFill="1" applyAlignment="1"/>
    <xf numFmtId="0" fontId="21" fillId="0" borderId="0" xfId="0" applyFont="1" applyProtection="1"/>
    <xf numFmtId="164" fontId="21" fillId="0" borderId="0" xfId="0" applyNumberFormat="1" applyFont="1" applyProtection="1"/>
    <xf numFmtId="0" fontId="13" fillId="0" borderId="0" xfId="0" applyFont="1" applyProtection="1"/>
    <xf numFmtId="164" fontId="13" fillId="0" borderId="0" xfId="0" applyNumberFormat="1" applyFont="1" applyProtection="1"/>
    <xf numFmtId="0" fontId="0" fillId="3" borderId="2" xfId="0" applyNumberFormat="1" applyFill="1" applyBorder="1" applyProtection="1"/>
    <xf numFmtId="1" fontId="0" fillId="3" borderId="2" xfId="0" applyNumberFormat="1" applyFill="1" applyBorder="1" applyProtection="1"/>
    <xf numFmtId="1" fontId="3" fillId="3" borderId="2" xfId="0" applyNumberFormat="1" applyFont="1" applyFill="1" applyBorder="1" applyProtection="1"/>
    <xf numFmtId="0" fontId="0" fillId="0" borderId="0" xfId="0" applyAlignment="1" applyProtection="1">
      <alignment shrinkToFit="1"/>
    </xf>
    <xf numFmtId="0" fontId="0" fillId="2" borderId="0" xfId="0" applyFill="1" applyProtection="1"/>
    <xf numFmtId="0" fontId="0" fillId="3" borderId="2" xfId="0" applyFill="1" applyBorder="1" applyProtection="1"/>
    <xf numFmtId="0" fontId="0" fillId="0" borderId="2" xfId="0" applyBorder="1" applyProtection="1"/>
    <xf numFmtId="164" fontId="0" fillId="3" borderId="2" xfId="0" applyNumberFormat="1" applyFill="1" applyBorder="1" applyAlignment="1" applyProtection="1">
      <alignment shrinkToFit="1"/>
    </xf>
    <xf numFmtId="2" fontId="5" fillId="0" borderId="0" xfId="0" applyNumberFormat="1" applyFont="1" applyProtection="1"/>
    <xf numFmtId="0" fontId="5" fillId="2" borderId="13" xfId="0" applyFont="1" applyFill="1" applyBorder="1" applyProtection="1"/>
    <xf numFmtId="0" fontId="7" fillId="2" borderId="13" xfId="0" applyFont="1" applyFill="1" applyBorder="1" applyAlignment="1" applyProtection="1">
      <alignment horizontal="center"/>
    </xf>
    <xf numFmtId="2" fontId="5" fillId="2" borderId="3" xfId="0" applyNumberFormat="1" applyFont="1" applyFill="1" applyBorder="1" applyProtection="1"/>
    <xf numFmtId="2" fontId="7" fillId="0" borderId="0" xfId="0" applyNumberFormat="1" applyFont="1" applyAlignment="1" applyProtection="1">
      <alignment horizontal="center"/>
    </xf>
    <xf numFmtId="0" fontId="16" fillId="11" borderId="0" xfId="0" applyFont="1" applyFill="1" applyAlignment="1" applyProtection="1">
      <alignment shrinkToFit="1"/>
    </xf>
    <xf numFmtId="0" fontId="16" fillId="11" borderId="0" xfId="0" applyFont="1" applyFill="1" applyProtection="1"/>
    <xf numFmtId="0" fontId="16" fillId="2" borderId="13" xfId="0" applyFont="1" applyFill="1" applyBorder="1" applyProtection="1"/>
    <xf numFmtId="0" fontId="9" fillId="2" borderId="3" xfId="0" applyFont="1" applyFill="1" applyBorder="1" applyProtection="1"/>
    <xf numFmtId="0" fontId="0" fillId="2" borderId="13" xfId="0" applyFill="1" applyBorder="1" applyProtection="1"/>
    <xf numFmtId="0" fontId="0" fillId="2" borderId="3" xfId="0" applyFill="1" applyBorder="1" applyProtection="1"/>
    <xf numFmtId="4" fontId="0" fillId="3" borderId="2" xfId="0" applyNumberFormat="1" applyFill="1" applyBorder="1" applyProtection="1"/>
    <xf numFmtId="0" fontId="9" fillId="2" borderId="13" xfId="0" applyFont="1" applyFill="1" applyBorder="1" applyAlignment="1" applyProtection="1">
      <alignment horizontal="center"/>
    </xf>
    <xf numFmtId="0" fontId="15" fillId="0" borderId="0" xfId="0" applyFont="1"/>
    <xf numFmtId="164" fontId="11" fillId="0" borderId="0" xfId="0" applyNumberFormat="1" applyFont="1" applyAlignment="1" applyProtection="1">
      <alignment shrinkToFit="1"/>
    </xf>
    <xf numFmtId="0" fontId="10" fillId="4" borderId="2" xfId="0" applyFont="1" applyFill="1" applyBorder="1" applyProtection="1">
      <protection locked="0"/>
    </xf>
    <xf numFmtId="164" fontId="0" fillId="4" borderId="2" xfId="0" applyNumberFormat="1" applyFill="1" applyBorder="1" applyAlignment="1" applyProtection="1">
      <alignment shrinkToFit="1"/>
      <protection locked="0"/>
    </xf>
    <xf numFmtId="49" fontId="0" fillId="4" borderId="2" xfId="0" applyNumberFormat="1" applyFill="1" applyBorder="1" applyAlignment="1" applyProtection="1">
      <alignment shrinkToFit="1"/>
      <protection locked="0"/>
    </xf>
    <xf numFmtId="164" fontId="26" fillId="0" borderId="0" xfId="0" applyNumberFormat="1" applyFont="1" applyProtection="1"/>
    <xf numFmtId="0" fontId="15" fillId="0" borderId="0" xfId="0" applyFont="1" applyProtection="1"/>
    <xf numFmtId="164" fontId="15" fillId="0" borderId="0" xfId="0" applyNumberFormat="1" applyFont="1" applyProtection="1"/>
    <xf numFmtId="2" fontId="0" fillId="4" borderId="2" xfId="0" applyNumberForma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1" fontId="0" fillId="4" borderId="2" xfId="0" applyNumberFormat="1" applyFill="1" applyBorder="1" applyProtection="1">
      <protection locked="0"/>
    </xf>
    <xf numFmtId="0" fontId="27" fillId="2" borderId="0" xfId="0" applyFont="1" applyFill="1" applyAlignment="1">
      <alignment horizontal="left"/>
    </xf>
    <xf numFmtId="0" fontId="0" fillId="2" borderId="2" xfId="0" applyFill="1" applyBorder="1" applyAlignment="1">
      <alignment horizontal="right"/>
    </xf>
    <xf numFmtId="164" fontId="0" fillId="4" borderId="10" xfId="0" applyNumberFormat="1" applyFill="1" applyBorder="1" applyProtection="1">
      <protection locked="0"/>
    </xf>
    <xf numFmtId="0" fontId="0" fillId="0" borderId="14" xfId="0" applyBorder="1"/>
    <xf numFmtId="0" fontId="0" fillId="0" borderId="14" xfId="0" applyBorder="1" applyAlignment="1">
      <alignment horizontal="right"/>
    </xf>
    <xf numFmtId="1" fontId="0" fillId="3" borderId="2" xfId="0" applyNumberFormat="1" applyFill="1" applyBorder="1"/>
    <xf numFmtId="0" fontId="0" fillId="0" borderId="0" xfId="0" applyAlignment="1">
      <alignment shrinkToFit="1"/>
    </xf>
    <xf numFmtId="4" fontId="28" fillId="12" borderId="2" xfId="0" applyNumberFormat="1" applyFont="1" applyFill="1" applyBorder="1" applyProtection="1"/>
    <xf numFmtId="2" fontId="16" fillId="0" borderId="0" xfId="0" applyNumberFormat="1" applyFont="1" applyProtection="1"/>
    <xf numFmtId="0" fontId="16" fillId="0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Protection="1"/>
    <xf numFmtId="0" fontId="8" fillId="0" borderId="0" xfId="0" applyFont="1" applyAlignment="1" applyProtection="1">
      <alignment horizontal="center" vertical="center"/>
    </xf>
    <xf numFmtId="8" fontId="0" fillId="8" borderId="3" xfId="0" applyNumberFormat="1" applyFill="1" applyBorder="1" applyProtection="1"/>
    <xf numFmtId="0" fontId="9" fillId="2" borderId="1" xfId="0" applyFont="1" applyFill="1" applyBorder="1" applyProtection="1"/>
    <xf numFmtId="0" fontId="17" fillId="2" borderId="1" xfId="0" applyFont="1" applyFill="1" applyBorder="1" applyProtection="1"/>
    <xf numFmtId="164" fontId="16" fillId="4" borderId="2" xfId="0" applyNumberFormat="1" applyFont="1" applyFill="1" applyBorder="1" applyProtection="1"/>
    <xf numFmtId="2" fontId="28" fillId="13" borderId="2" xfId="0" applyNumberFormat="1" applyFont="1" applyFill="1" applyBorder="1" applyProtection="1"/>
    <xf numFmtId="0" fontId="1" fillId="2" borderId="0" xfId="0" applyFont="1" applyFill="1" applyProtection="1"/>
    <xf numFmtId="0" fontId="1" fillId="2" borderId="10" xfId="0" applyFont="1" applyFill="1" applyBorder="1" applyProtection="1"/>
    <xf numFmtId="164" fontId="0" fillId="14" borderId="2" xfId="0" applyNumberFormat="1" applyFill="1" applyBorder="1" applyProtection="1"/>
    <xf numFmtId="164" fontId="0" fillId="0" borderId="2" xfId="0" applyNumberFormat="1" applyBorder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0" fontId="14" fillId="0" borderId="0" xfId="0" applyFont="1" applyProtection="1"/>
    <xf numFmtId="0" fontId="1" fillId="2" borderId="9" xfId="0" applyFont="1" applyFill="1" applyBorder="1" applyAlignment="1" applyProtection="1"/>
    <xf numFmtId="0" fontId="0" fillId="3" borderId="2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shrinkToFit="1"/>
    </xf>
    <xf numFmtId="0" fontId="11" fillId="0" borderId="2" xfId="0" applyFont="1" applyBorder="1" applyProtection="1"/>
    <xf numFmtId="0" fontId="0" fillId="6" borderId="2" xfId="0" applyFill="1" applyBorder="1" applyAlignment="1"/>
    <xf numFmtId="0" fontId="0" fillId="6" borderId="2" xfId="0" applyFill="1" applyBorder="1"/>
    <xf numFmtId="0" fontId="8" fillId="0" borderId="0" xfId="0" applyFont="1" applyFill="1"/>
    <xf numFmtId="0" fontId="16" fillId="3" borderId="2" xfId="0" applyNumberFormat="1" applyFont="1" applyFill="1" applyBorder="1" applyProtection="1"/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33" fillId="0" borderId="0" xfId="0" applyFont="1"/>
    <xf numFmtId="0" fontId="34" fillId="0" borderId="0" xfId="0" applyFont="1" applyAlignment="1" applyProtection="1">
      <alignment horizontal="center"/>
    </xf>
    <xf numFmtId="0" fontId="8" fillId="0" borderId="0" xfId="0" applyFont="1" applyFill="1" applyProtection="1"/>
    <xf numFmtId="0" fontId="8" fillId="0" borderId="2" xfId="0" applyFont="1" applyBorder="1" applyProtection="1"/>
    <xf numFmtId="164" fontId="8" fillId="8" borderId="2" xfId="0" applyNumberFormat="1" applyFont="1" applyFill="1" applyBorder="1" applyProtection="1"/>
    <xf numFmtId="0" fontId="4" fillId="8" borderId="2" xfId="0" applyFont="1" applyFill="1" applyBorder="1" applyProtection="1"/>
    <xf numFmtId="164" fontId="8" fillId="2" borderId="2" xfId="0" applyNumberFormat="1" applyFont="1" applyFill="1" applyBorder="1" applyProtection="1"/>
    <xf numFmtId="0" fontId="4" fillId="2" borderId="2" xfId="0" applyFont="1" applyFill="1" applyBorder="1" applyProtection="1"/>
    <xf numFmtId="164" fontId="8" fillId="0" borderId="2" xfId="0" applyNumberFormat="1" applyFont="1" applyFill="1" applyBorder="1" applyProtection="1"/>
    <xf numFmtId="164" fontId="8" fillId="0" borderId="2" xfId="0" applyNumberFormat="1" applyFont="1" applyBorder="1" applyProtection="1"/>
    <xf numFmtId="0" fontId="4" fillId="0" borderId="2" xfId="0" applyFont="1" applyBorder="1" applyProtection="1"/>
    <xf numFmtId="164" fontId="8" fillId="0" borderId="0" xfId="0" applyNumberFormat="1" applyFont="1" applyProtection="1"/>
    <xf numFmtId="164" fontId="8" fillId="4" borderId="0" xfId="0" applyNumberFormat="1" applyFont="1" applyFill="1" applyProtection="1"/>
    <xf numFmtId="0" fontId="8" fillId="4" borderId="0" xfId="0" applyFont="1" applyFill="1" applyProtection="1"/>
    <xf numFmtId="164" fontId="8" fillId="4" borderId="1" xfId="0" applyNumberFormat="1" applyFont="1" applyFill="1" applyBorder="1" applyProtection="1"/>
    <xf numFmtId="164" fontId="8" fillId="4" borderId="13" xfId="0" applyNumberFormat="1" applyFont="1" applyFill="1" applyBorder="1" applyProtection="1"/>
    <xf numFmtId="164" fontId="8" fillId="4" borderId="3" xfId="0" applyNumberFormat="1" applyFont="1" applyFill="1" applyBorder="1" applyProtection="1"/>
    <xf numFmtId="0" fontId="27" fillId="2" borderId="15" xfId="0" applyFont="1" applyFill="1" applyBorder="1" applyAlignment="1">
      <alignment horizontal="left"/>
    </xf>
    <xf numFmtId="0" fontId="10" fillId="2" borderId="15" xfId="0" applyFont="1" applyFill="1" applyBorder="1" applyAlignment="1"/>
    <xf numFmtId="0" fontId="11" fillId="2" borderId="2" xfId="0" applyFont="1" applyFill="1" applyBorder="1" applyProtection="1">
      <protection locked="0"/>
    </xf>
    <xf numFmtId="164" fontId="8" fillId="18" borderId="0" xfId="0" applyNumberFormat="1" applyFont="1" applyFill="1" applyProtection="1"/>
    <xf numFmtId="0" fontId="8" fillId="18" borderId="0" xfId="0" applyFont="1" applyFill="1" applyProtection="1"/>
    <xf numFmtId="164" fontId="4" fillId="8" borderId="2" xfId="0" applyNumberFormat="1" applyFont="1" applyFill="1" applyBorder="1" applyProtection="1"/>
    <xf numFmtId="164" fontId="4" fillId="2" borderId="2" xfId="0" applyNumberFormat="1" applyFont="1" applyFill="1" applyBorder="1" applyProtection="1"/>
    <xf numFmtId="164" fontId="4" fillId="0" borderId="2" xfId="0" applyNumberFormat="1" applyFont="1" applyBorder="1" applyProtection="1"/>
    <xf numFmtId="164" fontId="4" fillId="0" borderId="2" xfId="0" applyNumberFormat="1" applyFont="1" applyFill="1" applyBorder="1" applyProtection="1"/>
    <xf numFmtId="0" fontId="0" fillId="0" borderId="0" xfId="0" applyFill="1" applyAlignment="1"/>
    <xf numFmtId="0" fontId="0" fillId="19" borderId="2" xfId="0" applyFill="1" applyBorder="1" applyProtection="1">
      <protection locked="0"/>
    </xf>
    <xf numFmtId="0" fontId="0" fillId="0" borderId="0" xfId="0" applyAlignment="1">
      <alignment horizontal="right"/>
    </xf>
    <xf numFmtId="164" fontId="0" fillId="20" borderId="2" xfId="0" applyNumberFormat="1" applyFill="1" applyBorder="1" applyProtection="1">
      <protection locked="0"/>
    </xf>
    <xf numFmtId="164" fontId="0" fillId="19" borderId="2" xfId="0" applyNumberFormat="1" applyFill="1" applyBorder="1" applyProtection="1">
      <protection locked="0"/>
    </xf>
    <xf numFmtId="0" fontId="0" fillId="0" borderId="0" xfId="0" applyFont="1" applyProtection="1"/>
    <xf numFmtId="0" fontId="0" fillId="0" borderId="2" xfId="0" applyFont="1" applyFill="1" applyBorder="1" applyProtection="1"/>
    <xf numFmtId="164" fontId="0" fillId="4" borderId="3" xfId="0" applyNumberFormat="1" applyFill="1" applyBorder="1" applyAlignment="1" applyProtection="1">
      <alignment horizontal="right"/>
      <protection locked="0"/>
    </xf>
    <xf numFmtId="0" fontId="0" fillId="0" borderId="0" xfId="0" applyFill="1" applyBorder="1" applyAlignment="1"/>
    <xf numFmtId="0" fontId="0" fillId="0" borderId="0" xfId="0" applyFill="1" applyBorder="1" applyAlignment="1">
      <alignment horizontal="right" shrinkToFit="1"/>
    </xf>
    <xf numFmtId="164" fontId="0" fillId="21" borderId="2" xfId="0" applyNumberFormat="1" applyFill="1" applyBorder="1" applyAlignment="1">
      <alignment shrinkToFit="1"/>
    </xf>
    <xf numFmtId="0" fontId="14" fillId="13" borderId="0" xfId="0" applyFont="1" applyFill="1" applyAlignment="1"/>
    <xf numFmtId="0" fontId="0" fillId="0" borderId="0" xfId="0" applyAlignment="1"/>
    <xf numFmtId="0" fontId="0" fillId="4" borderId="1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4" borderId="2" xfId="0" applyFill="1" applyBorder="1" applyAlignment="1" applyProtection="1">
      <protection locked="0"/>
    </xf>
    <xf numFmtId="10" fontId="0" fillId="4" borderId="2" xfId="0" applyNumberFormat="1" applyFill="1" applyBorder="1" applyAlignment="1" applyProtection="1">
      <protection locked="0"/>
    </xf>
    <xf numFmtId="0" fontId="0" fillId="3" borderId="1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6" borderId="2" xfId="0" applyFill="1" applyBorder="1" applyAlignment="1">
      <alignment horizontal="right"/>
    </xf>
    <xf numFmtId="49" fontId="0" fillId="4" borderId="2" xfId="0" applyNumberFormat="1" applyFill="1" applyBorder="1" applyAlignment="1" applyProtection="1">
      <protection locked="0"/>
    </xf>
    <xf numFmtId="0" fontId="0" fillId="0" borderId="2" xfId="0" applyBorder="1" applyAlignment="1"/>
    <xf numFmtId="0" fontId="12" fillId="0" borderId="0" xfId="1" applyAlignment="1" applyProtection="1"/>
    <xf numFmtId="0" fontId="10" fillId="0" borderId="0" xfId="0" applyFont="1" applyAlignment="1" applyProtection="1">
      <alignment horizontal="right" shrinkToFit="1"/>
    </xf>
    <xf numFmtId="0" fontId="10" fillId="0" borderId="0" xfId="0" applyFont="1" applyAlignment="1">
      <alignment horizontal="right" shrinkToFit="1"/>
    </xf>
    <xf numFmtId="0" fontId="10" fillId="0" borderId="0" xfId="0" applyFont="1" applyAlignment="1" applyProtection="1">
      <alignment shrinkToFit="1"/>
    </xf>
    <xf numFmtId="0" fontId="10" fillId="0" borderId="0" xfId="0" applyFont="1" applyAlignment="1">
      <alignment shrinkToFit="1"/>
    </xf>
    <xf numFmtId="0" fontId="0" fillId="2" borderId="1" xfId="0" applyFill="1" applyBorder="1" applyAlignment="1">
      <alignment horizontal="right" shrinkToFit="1"/>
    </xf>
    <xf numFmtId="0" fontId="0" fillId="2" borderId="3" xfId="0" applyFill="1" applyBorder="1" applyAlignment="1">
      <alignment horizontal="right" shrinkToFit="1"/>
    </xf>
    <xf numFmtId="0" fontId="0" fillId="4" borderId="13" xfId="0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protection locked="0"/>
    </xf>
    <xf numFmtId="0" fontId="0" fillId="0" borderId="0" xfId="0" applyAlignment="1">
      <alignment shrinkToFit="1"/>
    </xf>
    <xf numFmtId="0" fontId="0" fillId="0" borderId="6" xfId="0" applyBorder="1" applyAlignment="1">
      <alignment shrinkToFit="1"/>
    </xf>
    <xf numFmtId="0" fontId="0" fillId="6" borderId="1" xfId="0" applyFill="1" applyBorder="1" applyAlignment="1">
      <alignment horizontal="left"/>
    </xf>
    <xf numFmtId="0" fontId="0" fillId="0" borderId="13" xfId="0" applyBorder="1" applyAlignment="1"/>
    <xf numFmtId="0" fontId="0" fillId="0" borderId="3" xfId="0" applyBorder="1" applyAlignment="1"/>
    <xf numFmtId="0" fontId="0" fillId="6" borderId="2" xfId="0" applyFill="1" applyBorder="1" applyAlignment="1" applyProtection="1">
      <alignment horizontal="right"/>
    </xf>
    <xf numFmtId="164" fontId="0" fillId="4" borderId="2" xfId="0" applyNumberFormat="1" applyFill="1" applyBorder="1" applyAlignment="1" applyProtection="1">
      <protection locked="0"/>
    </xf>
    <xf numFmtId="0" fontId="0" fillId="0" borderId="5" xfId="0" applyBorder="1" applyAlignment="1">
      <alignment horizontal="right" shrinkToFit="1"/>
    </xf>
    <xf numFmtId="0" fontId="0" fillId="0" borderId="6" xfId="0" applyBorder="1" applyAlignment="1">
      <alignment horizontal="right" shrinkToFit="1"/>
    </xf>
    <xf numFmtId="0" fontId="0" fillId="22" borderId="5" xfId="0" applyFill="1" applyBorder="1" applyAlignment="1">
      <alignment horizontal="right"/>
    </xf>
    <xf numFmtId="0" fontId="0" fillId="22" borderId="0" xfId="0" applyFill="1" applyAlignment="1">
      <alignment horizontal="right"/>
    </xf>
    <xf numFmtId="0" fontId="0" fillId="22" borderId="6" xfId="0" applyFill="1" applyBorder="1" applyAlignment="1">
      <alignment horizontal="right"/>
    </xf>
    <xf numFmtId="2" fontId="16" fillId="0" borderId="5" xfId="0" applyNumberFormat="1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16" fillId="3" borderId="1" xfId="0" applyFont="1" applyFill="1" applyBorder="1" applyAlignment="1" applyProtection="1"/>
    <xf numFmtId="0" fontId="16" fillId="3" borderId="13" xfId="0" applyFont="1" applyFill="1" applyBorder="1" applyAlignment="1" applyProtection="1"/>
    <xf numFmtId="0" fontId="16" fillId="3" borderId="3" xfId="0" applyFont="1" applyFill="1" applyBorder="1" applyAlignment="1" applyProtection="1"/>
    <xf numFmtId="0" fontId="11" fillId="0" borderId="2" xfId="0" applyFont="1" applyFill="1" applyBorder="1" applyAlignment="1" applyProtection="1"/>
    <xf numFmtId="0" fontId="11" fillId="5" borderId="1" xfId="0" applyFont="1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0" xfId="0" applyFont="1" applyAlignment="1" applyProtection="1">
      <alignment horizontal="right"/>
    </xf>
    <xf numFmtId="0" fontId="10" fillId="3" borderId="1" xfId="0" applyFont="1" applyFill="1" applyBorder="1" applyAlignment="1" applyProtection="1"/>
    <xf numFmtId="0" fontId="0" fillId="0" borderId="3" xfId="0" applyBorder="1" applyAlignment="1" applyProtection="1"/>
    <xf numFmtId="0" fontId="11" fillId="0" borderId="2" xfId="0" applyFont="1" applyBorder="1" applyAlignment="1" applyProtection="1"/>
    <xf numFmtId="0" fontId="0" fillId="5" borderId="1" xfId="0" applyFill="1" applyBorder="1" applyAlignment="1" applyProtection="1">
      <protection locked="0"/>
    </xf>
    <xf numFmtId="0" fontId="15" fillId="0" borderId="11" xfId="0" applyFont="1" applyFill="1" applyBorder="1" applyAlignment="1" applyProtection="1">
      <protection locked="0"/>
    </xf>
    <xf numFmtId="0" fontId="3" fillId="0" borderId="11" xfId="0" applyFont="1" applyFill="1" applyBorder="1" applyAlignment="1"/>
    <xf numFmtId="0" fontId="11" fillId="5" borderId="7" xfId="0" applyFont="1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1" fillId="4" borderId="2" xfId="0" applyFont="1" applyFill="1" applyBorder="1" applyAlignment="1" applyProtection="1">
      <protection locked="0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1" xfId="0" applyFont="1" applyFill="1" applyBorder="1" applyProtection="1"/>
    <xf numFmtId="0" fontId="17" fillId="2" borderId="13" xfId="0" applyFont="1" applyFill="1" applyBorder="1" applyProtection="1"/>
    <xf numFmtId="0" fontId="0" fillId="0" borderId="13" xfId="0" applyBorder="1" applyAlignment="1" applyProtection="1"/>
    <xf numFmtId="0" fontId="0" fillId="3" borderId="13" xfId="0" applyFill="1" applyBorder="1" applyAlignment="1" applyProtection="1"/>
    <xf numFmtId="0" fontId="0" fillId="3" borderId="3" xfId="0" applyFill="1" applyBorder="1" applyAlignment="1" applyProtection="1"/>
    <xf numFmtId="0" fontId="5" fillId="15" borderId="0" xfId="0" applyFont="1" applyFill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shrinkToFit="1"/>
    </xf>
    <xf numFmtId="0" fontId="0" fillId="14" borderId="2" xfId="0" applyNumberFormat="1" applyFill="1" applyBorder="1" applyAlignment="1" applyProtection="1">
      <alignment shrinkToFit="1"/>
    </xf>
    <xf numFmtId="0" fontId="0" fillId="0" borderId="2" xfId="0" applyNumberFormat="1" applyBorder="1" applyAlignment="1" applyProtection="1">
      <alignment shrinkToFit="1"/>
    </xf>
    <xf numFmtId="0" fontId="0" fillId="0" borderId="9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4" xfId="0" applyFont="1" applyFill="1" applyBorder="1" applyAlignment="1" applyProtection="1"/>
    <xf numFmtId="0" fontId="0" fillId="14" borderId="1" xfId="0" applyNumberFormat="1" applyFill="1" applyBorder="1" applyAlignment="1" applyProtection="1">
      <alignment horizontal="left" shrinkToFit="1"/>
    </xf>
    <xf numFmtId="0" fontId="0" fillId="14" borderId="13" xfId="0" applyNumberFormat="1" applyFill="1" applyBorder="1" applyAlignment="1" applyProtection="1">
      <alignment horizontal="left" shrinkToFit="1"/>
    </xf>
    <xf numFmtId="0" fontId="0" fillId="14" borderId="3" xfId="0" applyNumberFormat="1" applyFill="1" applyBorder="1" applyAlignment="1" applyProtection="1">
      <alignment horizontal="left" shrinkToFit="1"/>
    </xf>
    <xf numFmtId="0" fontId="0" fillId="0" borderId="1" xfId="0" applyNumberFormat="1" applyBorder="1" applyAlignment="1" applyProtection="1">
      <alignment horizontal="left" shrinkToFit="1"/>
    </xf>
    <xf numFmtId="0" fontId="0" fillId="0" borderId="13" xfId="0" applyNumberFormat="1" applyBorder="1" applyAlignment="1" applyProtection="1">
      <alignment horizontal="left" shrinkToFit="1"/>
    </xf>
    <xf numFmtId="0" fontId="0" fillId="0" borderId="3" xfId="0" applyNumberFormat="1" applyBorder="1" applyAlignment="1" applyProtection="1">
      <alignment horizontal="left" shrinkToFit="1"/>
    </xf>
    <xf numFmtId="0" fontId="0" fillId="14" borderId="2" xfId="0" applyNumberFormat="1" applyFill="1" applyBorder="1" applyAlignment="1" applyProtection="1">
      <alignment horizontal="left" shrinkToFit="1"/>
    </xf>
    <xf numFmtId="0" fontId="0" fillId="0" borderId="2" xfId="0" applyNumberFormat="1" applyBorder="1" applyAlignment="1" applyProtection="1">
      <alignment horizontal="left" shrinkToFit="1"/>
    </xf>
    <xf numFmtId="0" fontId="0" fillId="0" borderId="0" xfId="0" applyAlignment="1" applyProtection="1"/>
    <xf numFmtId="0" fontId="9" fillId="2" borderId="1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29" fillId="0" borderId="11" xfId="0" applyFont="1" applyBorder="1" applyAlignment="1" applyProtection="1"/>
    <xf numFmtId="0" fontId="30" fillId="0" borderId="11" xfId="0" applyFont="1" applyBorder="1" applyAlignment="1" applyProtection="1"/>
    <xf numFmtId="0" fontId="9" fillId="6" borderId="0" xfId="0" applyFont="1" applyFill="1" applyAlignment="1" applyProtection="1">
      <alignment horizontal="right"/>
    </xf>
    <xf numFmtId="0" fontId="0" fillId="0" borderId="6" xfId="0" applyBorder="1" applyAlignment="1" applyProtection="1"/>
    <xf numFmtId="0" fontId="9" fillId="2" borderId="5" xfId="0" applyFont="1" applyFill="1" applyBorder="1" applyAlignment="1" applyProtection="1">
      <alignment horizontal="right"/>
    </xf>
    <xf numFmtId="0" fontId="9" fillId="6" borderId="5" xfId="0" applyFont="1" applyFill="1" applyBorder="1" applyAlignment="1" applyProtection="1">
      <alignment horizontal="right"/>
    </xf>
    <xf numFmtId="0" fontId="0" fillId="6" borderId="0" xfId="0" applyFill="1" applyAlignment="1" applyProtection="1">
      <alignment horizontal="right"/>
    </xf>
    <xf numFmtId="0" fontId="0" fillId="6" borderId="6" xfId="0" applyFill="1" applyBorder="1" applyAlignment="1" applyProtection="1">
      <alignment horizontal="right"/>
    </xf>
    <xf numFmtId="0" fontId="9" fillId="0" borderId="0" xfId="0" applyFont="1" applyAlignment="1" applyProtection="1">
      <alignment shrinkToFit="1"/>
    </xf>
    <xf numFmtId="0" fontId="9" fillId="0" borderId="0" xfId="0" applyFont="1" applyProtection="1"/>
    <xf numFmtId="0" fontId="31" fillId="8" borderId="16" xfId="0" applyFont="1" applyFill="1" applyBorder="1" applyAlignment="1" applyProtection="1">
      <alignment horizontal="center" vertical="center" wrapText="1"/>
    </xf>
    <xf numFmtId="0" fontId="0" fillId="8" borderId="17" xfId="0" applyFill="1" applyBorder="1" applyAlignment="1" applyProtection="1">
      <alignment horizontal="center" vertical="center" wrapText="1"/>
    </xf>
    <xf numFmtId="0" fontId="0" fillId="8" borderId="18" xfId="0" applyFill="1" applyBorder="1" applyAlignment="1" applyProtection="1">
      <alignment horizontal="center" vertical="center" wrapText="1"/>
    </xf>
    <xf numFmtId="0" fontId="0" fillId="8" borderId="19" xfId="0" applyFill="1" applyBorder="1" applyAlignment="1" applyProtection="1">
      <alignment horizontal="center" vertical="center" wrapText="1"/>
    </xf>
    <xf numFmtId="0" fontId="0" fillId="8" borderId="0" xfId="0" applyFill="1" applyBorder="1" applyAlignment="1" applyProtection="1">
      <alignment horizontal="center" vertical="center" wrapText="1"/>
    </xf>
    <xf numFmtId="0" fontId="0" fillId="8" borderId="20" xfId="0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9" fillId="10" borderId="1" xfId="0" applyFont="1" applyFill="1" applyBorder="1" applyAlignment="1" applyProtection="1"/>
    <xf numFmtId="0" fontId="0" fillId="0" borderId="12" xfId="0" applyBorder="1" applyAlignment="1" applyProtection="1"/>
    <xf numFmtId="0" fontId="0" fillId="0" borderId="4" xfId="0" applyBorder="1" applyAlignment="1" applyProtection="1"/>
    <xf numFmtId="0" fontId="32" fillId="13" borderId="0" xfId="0" applyFont="1" applyFill="1" applyAlignment="1"/>
    <xf numFmtId="0" fontId="8" fillId="16" borderId="2" xfId="0" applyFont="1" applyFill="1" applyBorder="1" applyAlignment="1" applyProtection="1">
      <alignment shrinkToFit="1"/>
    </xf>
    <xf numFmtId="0" fontId="22" fillId="8" borderId="0" xfId="0" applyFont="1" applyFill="1" applyProtection="1"/>
    <xf numFmtId="0" fontId="22" fillId="8" borderId="6" xfId="0" applyFont="1" applyFill="1" applyBorder="1" applyProtection="1"/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22" fillId="2" borderId="0" xfId="0" applyFont="1" applyFill="1" applyAlignment="1" applyProtection="1"/>
    <xf numFmtId="0" fontId="23" fillId="2" borderId="0" xfId="0" applyFont="1" applyFill="1" applyAlignment="1" applyProtection="1"/>
    <xf numFmtId="0" fontId="0" fillId="0" borderId="9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2" fillId="2" borderId="0" xfId="0" applyFont="1" applyFill="1" applyAlignment="1" applyProtection="1">
      <alignment horizontal="right"/>
    </xf>
    <xf numFmtId="0" fontId="22" fillId="8" borderId="0" xfId="0" applyFont="1" applyFill="1" applyAlignment="1" applyProtection="1"/>
    <xf numFmtId="0" fontId="16" fillId="16" borderId="1" xfId="0" applyFont="1" applyFill="1" applyBorder="1" applyAlignment="1" applyProtection="1">
      <alignment horizontal="center" shrinkToFit="1"/>
    </xf>
    <xf numFmtId="0" fontId="8" fillId="16" borderId="13" xfId="0" applyFont="1" applyFill="1" applyBorder="1" applyAlignment="1" applyProtection="1">
      <alignment horizontal="center" shrinkToFit="1"/>
    </xf>
    <xf numFmtId="0" fontId="8" fillId="16" borderId="3" xfId="0" applyFont="1" applyFill="1" applyBorder="1" applyAlignment="1" applyProtection="1">
      <alignment horizontal="center" shrinkToFit="1"/>
    </xf>
    <xf numFmtId="0" fontId="8" fillId="16" borderId="1" xfId="0" applyFont="1" applyFill="1" applyBorder="1" applyAlignment="1" applyProtection="1">
      <alignment horizontal="center" shrinkToFit="1"/>
    </xf>
    <xf numFmtId="164" fontId="8" fillId="16" borderId="0" xfId="0" applyNumberFormat="1" applyFont="1" applyFill="1" applyAlignment="1" applyProtection="1">
      <alignment horizontal="center" shrinkToFit="1"/>
    </xf>
    <xf numFmtId="0" fontId="0" fillId="16" borderId="0" xfId="0" applyFill="1" applyAlignment="1" applyProtection="1">
      <alignment horizontal="center" shrinkToFit="1"/>
    </xf>
    <xf numFmtId="0" fontId="8" fillId="0" borderId="11" xfId="0" applyFont="1" applyBorder="1" applyAlignment="1" applyProtection="1"/>
    <xf numFmtId="164" fontId="8" fillId="0" borderId="11" xfId="0" applyNumberFormat="1" applyFont="1" applyBorder="1" applyAlignment="1" applyProtection="1"/>
    <xf numFmtId="0" fontId="0" fillId="3" borderId="1" xfId="0" applyFill="1" applyBorder="1" applyAlignment="1" applyProtection="1"/>
    <xf numFmtId="0" fontId="15" fillId="0" borderId="5" xfId="0" applyFont="1" applyBorder="1" applyAlignment="1" applyProtection="1">
      <alignment horizontal="center" vertical="center" wrapText="1" shrinkToFit="1"/>
    </xf>
    <xf numFmtId="0" fontId="15" fillId="0" borderId="5" xfId="0" applyFont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6" xfId="0" applyBorder="1" applyProtection="1"/>
    <xf numFmtId="0" fontId="14" fillId="17" borderId="0" xfId="0" applyFont="1" applyFill="1" applyProtection="1"/>
    <xf numFmtId="0" fontId="14" fillId="17" borderId="0" xfId="0" applyFont="1" applyFill="1" applyAlignment="1" applyProtection="1"/>
    <xf numFmtId="0" fontId="14" fillId="13" borderId="0" xfId="0" applyFont="1" applyFill="1" applyProtection="1"/>
  </cellXfs>
  <cellStyles count="10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711200</xdr:colOff>
      <xdr:row>26</xdr:row>
      <xdr:rowOff>63500</xdr:rowOff>
    </xdr:from>
    <xdr:to>
      <xdr:col>9</xdr:col>
      <xdr:colOff>50800</xdr:colOff>
      <xdr:row>28</xdr:row>
      <xdr:rowOff>0</xdr:rowOff>
    </xdr:to>
    <xdr:sp macro="" textlink="">
      <xdr:nvSpPr>
        <xdr:cNvPr id="1133" name="Line 1"/>
        <xdr:cNvSpPr>
          <a:spLocks noChangeShapeType="1"/>
        </xdr:cNvSpPr>
      </xdr:nvSpPr>
      <xdr:spPr bwMode="auto">
        <a:xfrm flipV="1">
          <a:off x="5080000" y="4572000"/>
          <a:ext cx="317500" cy="27940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aps.google.com/" TargetMode="External"/><Relationship Id="rId4" Type="http://schemas.openxmlformats.org/officeDocument/2006/relationships/hyperlink" Target="http://maps.google.com/" TargetMode="External"/><Relationship Id="rId1" Type="http://schemas.openxmlformats.org/officeDocument/2006/relationships/hyperlink" Target="http://www.fueleconomy.gov/" TargetMode="External"/><Relationship Id="rId2" Type="http://schemas.openxmlformats.org/officeDocument/2006/relationships/hyperlink" Target="http://www.orangecountygasprices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angecountygasprices.com/" TargetMode="External"/><Relationship Id="rId4" Type="http://schemas.openxmlformats.org/officeDocument/2006/relationships/hyperlink" Target="http://www.mapblast.com/" TargetMode="External"/><Relationship Id="rId1" Type="http://schemas.openxmlformats.org/officeDocument/2006/relationships/hyperlink" Target="http://www.bankrate.com/" TargetMode="External"/><Relationship Id="rId2" Type="http://schemas.openxmlformats.org/officeDocument/2006/relationships/hyperlink" Target="http://www.fueleconomy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view="pageLayout" workbookViewId="0">
      <selection activeCell="F18" sqref="F18"/>
    </sheetView>
  </sheetViews>
  <sheetFormatPr baseColWidth="10" defaultRowHeight="13" x14ac:dyDescent="0"/>
  <cols>
    <col min="1" max="1" width="15.33203125" customWidth="1"/>
    <col min="2" max="2" width="17.6640625" customWidth="1"/>
    <col min="3" max="3" width="8" customWidth="1"/>
    <col min="4" max="4" width="6" customWidth="1"/>
    <col min="5" max="5" width="20.6640625" customWidth="1"/>
    <col min="6" max="6" width="11.33203125" bestFit="1" customWidth="1"/>
  </cols>
  <sheetData>
    <row r="1" spans="1:7" ht="16">
      <c r="A1" s="251" t="s">
        <v>76</v>
      </c>
      <c r="B1" s="252"/>
      <c r="C1" s="252"/>
      <c r="D1" s="252"/>
      <c r="E1" s="252"/>
      <c r="F1" s="252"/>
      <c r="G1" s="252"/>
    </row>
    <row r="2" spans="1:7" ht="7" customHeight="1">
      <c r="A2" s="12"/>
      <c r="B2" s="12"/>
      <c r="C2" s="12"/>
    </row>
    <row r="3" spans="1:7">
      <c r="A3" t="s">
        <v>188</v>
      </c>
      <c r="B3" s="253" t="s">
        <v>170</v>
      </c>
      <c r="C3" s="254"/>
      <c r="E3" t="s">
        <v>190</v>
      </c>
      <c r="F3" s="241" t="s">
        <v>170</v>
      </c>
    </row>
    <row r="4" spans="1:7" ht="6" customHeight="1">
      <c r="B4" t="s">
        <v>351</v>
      </c>
    </row>
    <row r="5" spans="1:7">
      <c r="A5" t="s">
        <v>271</v>
      </c>
      <c r="B5" s="253" t="s">
        <v>170</v>
      </c>
      <c r="C5" s="254"/>
    </row>
    <row r="6" spans="1:7" ht="7" customHeight="1"/>
    <row r="7" spans="1:7">
      <c r="A7" t="s">
        <v>133</v>
      </c>
      <c r="B7" s="244">
        <v>0</v>
      </c>
      <c r="C7" s="137"/>
      <c r="E7" t="s">
        <v>134</v>
      </c>
      <c r="F7" s="244">
        <v>0</v>
      </c>
    </row>
    <row r="8" spans="1:7">
      <c r="A8" s="164" t="s">
        <v>406</v>
      </c>
      <c r="E8" s="164" t="s">
        <v>407</v>
      </c>
    </row>
    <row r="9" spans="1:7" ht="17" thickBot="1">
      <c r="A9" s="251" t="s">
        <v>308</v>
      </c>
      <c r="B9" s="252"/>
      <c r="C9" s="252"/>
      <c r="D9" s="252"/>
      <c r="E9" s="252"/>
      <c r="F9" s="252"/>
      <c r="G9" s="252"/>
    </row>
    <row r="10" spans="1:7">
      <c r="A10" s="231" t="s">
        <v>411</v>
      </c>
      <c r="B10" s="232"/>
      <c r="C10" s="232"/>
      <c r="D10" s="232"/>
      <c r="E10" s="243" t="s">
        <v>181</v>
      </c>
      <c r="F10" s="232" t="s">
        <v>412</v>
      </c>
      <c r="G10" s="232"/>
    </row>
    <row r="11" spans="1:7">
      <c r="D11" s="252"/>
      <c r="E11" s="252"/>
      <c r="F11" s="252"/>
      <c r="G11" s="252"/>
    </row>
    <row r="12" spans="1:7">
      <c r="A12" s="180" t="s">
        <v>150</v>
      </c>
      <c r="B12" s="274" t="s">
        <v>170</v>
      </c>
      <c r="C12" s="275"/>
      <c r="E12" s="272" t="s">
        <v>248</v>
      </c>
      <c r="F12" s="273"/>
      <c r="G12" s="15">
        <f>MARRIAGE!B15</f>
        <v>0</v>
      </c>
    </row>
    <row r="13" spans="1:7" s="133" customFormat="1">
      <c r="A13" s="180" t="s">
        <v>413</v>
      </c>
      <c r="B13" s="274" t="s">
        <v>170</v>
      </c>
      <c r="C13" s="275"/>
      <c r="E13" s="261" t="s">
        <v>311</v>
      </c>
      <c r="F13" s="262"/>
      <c r="G13" s="247">
        <v>0</v>
      </c>
    </row>
    <row r="14" spans="1:7">
      <c r="A14" s="261" t="s">
        <v>414</v>
      </c>
      <c r="B14" s="263"/>
      <c r="C14" s="49">
        <v>0</v>
      </c>
      <c r="E14" s="261" t="s">
        <v>418</v>
      </c>
      <c r="F14" s="263"/>
      <c r="G14" s="15">
        <f>G13*0.15</f>
        <v>0</v>
      </c>
    </row>
    <row r="15" spans="1:7" s="133" customFormat="1" ht="16">
      <c r="A15" s="138"/>
      <c r="B15" s="240"/>
      <c r="C15" s="240"/>
      <c r="D15" s="240"/>
      <c r="E15" s="240"/>
      <c r="F15" s="240"/>
      <c r="G15" s="240" t="s">
        <v>170</v>
      </c>
    </row>
    <row r="16" spans="1:7">
      <c r="A16" s="179" t="s">
        <v>149</v>
      </c>
      <c r="B16" s="112"/>
      <c r="C16" s="133"/>
      <c r="F16" s="179" t="s">
        <v>361</v>
      </c>
      <c r="G16" s="112"/>
    </row>
    <row r="17" spans="1:7">
      <c r="A17" s="49">
        <v>0</v>
      </c>
      <c r="B17" s="111" t="s">
        <v>182</v>
      </c>
      <c r="F17" s="49">
        <v>1</v>
      </c>
      <c r="G17" s="111" t="s">
        <v>216</v>
      </c>
    </row>
    <row r="18" spans="1:7">
      <c r="A18" s="49">
        <v>0</v>
      </c>
      <c r="B18" s="111" t="s">
        <v>183</v>
      </c>
      <c r="F18" s="49">
        <v>0</v>
      </c>
      <c r="G18" s="111" t="s">
        <v>217</v>
      </c>
    </row>
    <row r="19" spans="1:7">
      <c r="A19" s="49">
        <v>0</v>
      </c>
      <c r="B19" s="111" t="s">
        <v>63</v>
      </c>
      <c r="F19" s="49">
        <v>0</v>
      </c>
      <c r="G19" s="111" t="s">
        <v>362</v>
      </c>
    </row>
    <row r="20" spans="1:7">
      <c r="A20" s="49">
        <v>0</v>
      </c>
      <c r="B20" s="111" t="s">
        <v>84</v>
      </c>
      <c r="F20" s="49">
        <v>0</v>
      </c>
      <c r="G20" s="111" t="s">
        <v>363</v>
      </c>
    </row>
    <row r="21" spans="1:7">
      <c r="A21" s="49">
        <v>0</v>
      </c>
      <c r="B21" s="111" t="s">
        <v>184</v>
      </c>
      <c r="F21" s="49">
        <v>0</v>
      </c>
      <c r="G21" s="111" t="s">
        <v>364</v>
      </c>
    </row>
    <row r="22" spans="1:7">
      <c r="A22" s="15">
        <f>SUM(A17:A21)*5</f>
        <v>0</v>
      </c>
      <c r="B22" s="15" t="s">
        <v>320</v>
      </c>
      <c r="F22" s="49">
        <v>0</v>
      </c>
      <c r="G22" s="111" t="s">
        <v>218</v>
      </c>
    </row>
    <row r="23" spans="1:7">
      <c r="A23" s="113">
        <f>IF(C23=0,0,(A17*450+A18*350+A19*300+A20*300))</f>
        <v>0</v>
      </c>
      <c r="B23" s="94" t="s">
        <v>85</v>
      </c>
      <c r="C23" s="209">
        <f>A17+A18+A19+A20+A21</f>
        <v>0</v>
      </c>
      <c r="D23" s="259" t="s">
        <v>410</v>
      </c>
      <c r="E23" s="260"/>
      <c r="F23" s="208">
        <f>SUM(F17:F22)</f>
        <v>1</v>
      </c>
      <c r="G23" s="94" t="s">
        <v>365</v>
      </c>
    </row>
    <row r="25" spans="1:7" ht="16">
      <c r="A25" s="251" t="s">
        <v>270</v>
      </c>
      <c r="B25" s="252"/>
      <c r="C25" s="252"/>
      <c r="D25" s="252"/>
      <c r="E25" s="252"/>
      <c r="F25" s="252"/>
      <c r="G25" s="252"/>
    </row>
    <row r="26" spans="1:7" ht="6" customHeight="1">
      <c r="B26" s="127" t="s">
        <v>170</v>
      </c>
      <c r="D26" s="127" t="s">
        <v>170</v>
      </c>
    </row>
    <row r="27" spans="1:7">
      <c r="A27" s="278" t="s">
        <v>310</v>
      </c>
      <c r="B27" s="279"/>
      <c r="C27" s="280"/>
      <c r="D27" s="131" t="s">
        <v>170</v>
      </c>
      <c r="F27" s="176" t="s">
        <v>312</v>
      </c>
      <c r="G27" s="167">
        <v>0</v>
      </c>
    </row>
    <row r="28" spans="1:7">
      <c r="A28" t="s">
        <v>186</v>
      </c>
      <c r="C28" s="49">
        <v>1</v>
      </c>
      <c r="D28" s="128"/>
      <c r="F28" s="176" t="s">
        <v>289</v>
      </c>
      <c r="G28" s="150">
        <f>'HOUSE-TRANSPORT'!C21</f>
        <v>0</v>
      </c>
    </row>
    <row r="29" spans="1:7">
      <c r="A29" s="276" t="s">
        <v>222</v>
      </c>
      <c r="B29" s="277"/>
      <c r="C29" s="184">
        <f>(C28+(C23*0.5))</f>
        <v>1</v>
      </c>
      <c r="D29" s="128"/>
      <c r="E29" s="128"/>
      <c r="F29" s="242" t="s">
        <v>424</v>
      </c>
      <c r="G29" s="150">
        <f>G27*0.00475</f>
        <v>0</v>
      </c>
    </row>
    <row r="30" spans="1:7">
      <c r="C30" s="132"/>
      <c r="D30" s="128"/>
      <c r="E30" s="128"/>
    </row>
    <row r="31" spans="1:7">
      <c r="A31" s="242" t="s">
        <v>336</v>
      </c>
      <c r="B31" s="265" t="s">
        <v>351</v>
      </c>
      <c r="C31" s="265"/>
      <c r="D31" s="266"/>
      <c r="E31" s="285" t="s">
        <v>425</v>
      </c>
      <c r="F31" s="286"/>
      <c r="G31" s="287"/>
    </row>
    <row r="32" spans="1:7">
      <c r="A32" s="242" t="s">
        <v>249</v>
      </c>
      <c r="B32" s="265" t="s">
        <v>360</v>
      </c>
      <c r="C32" s="265"/>
      <c r="D32" s="266"/>
      <c r="E32" s="283" t="s">
        <v>423</v>
      </c>
      <c r="F32" s="284"/>
      <c r="G32" s="16">
        <v>0</v>
      </c>
    </row>
    <row r="33" spans="1:9" s="133" customFormat="1">
      <c r="A33" s="242" t="s">
        <v>250</v>
      </c>
      <c r="B33" s="178" t="s">
        <v>170</v>
      </c>
      <c r="D33" s="248"/>
      <c r="E33" s="249"/>
      <c r="F33" s="242" t="s">
        <v>426</v>
      </c>
      <c r="G33" s="250">
        <f>G32*0.03</f>
        <v>0</v>
      </c>
    </row>
    <row r="35" spans="1:9" ht="16">
      <c r="A35" s="251" t="s">
        <v>313</v>
      </c>
      <c r="B35" s="252"/>
      <c r="C35" s="252"/>
      <c r="D35" s="252"/>
      <c r="E35" s="252"/>
      <c r="F35" s="252"/>
      <c r="G35" s="252"/>
    </row>
    <row r="36" spans="1:9" ht="6" customHeight="1"/>
    <row r="37" spans="1:9">
      <c r="A37" s="281" t="s">
        <v>75</v>
      </c>
      <c r="B37" s="264"/>
      <c r="C37" s="257" t="s">
        <v>170</v>
      </c>
      <c r="D37" s="257"/>
      <c r="F37" s="176" t="s">
        <v>139</v>
      </c>
      <c r="G37" s="49">
        <v>0</v>
      </c>
    </row>
    <row r="38" spans="1:9">
      <c r="A38" s="264" t="s">
        <v>383</v>
      </c>
      <c r="B38" s="264"/>
      <c r="C38" s="257" t="s">
        <v>170</v>
      </c>
      <c r="D38" s="257"/>
      <c r="F38" s="176" t="s">
        <v>385</v>
      </c>
      <c r="G38" s="16">
        <v>0</v>
      </c>
    </row>
    <row r="39" spans="1:9">
      <c r="A39" s="264" t="s">
        <v>428</v>
      </c>
      <c r="B39" s="264"/>
      <c r="C39" s="282">
        <v>0</v>
      </c>
      <c r="D39" s="282"/>
      <c r="I39" s="11" t="s">
        <v>351</v>
      </c>
    </row>
    <row r="40" spans="1:9">
      <c r="A40" s="264" t="s">
        <v>148</v>
      </c>
      <c r="B40" s="264"/>
      <c r="C40" s="257">
        <v>0</v>
      </c>
      <c r="D40" s="257"/>
    </row>
    <row r="41" spans="1:9">
      <c r="A41" s="264" t="s">
        <v>384</v>
      </c>
      <c r="B41" s="264"/>
      <c r="C41" s="258">
        <v>0</v>
      </c>
      <c r="D41" s="258"/>
      <c r="F41" s="176" t="s">
        <v>386</v>
      </c>
      <c r="G41" s="14" t="e">
        <f>(((B33*40)/G37)*G38)+75</f>
        <v>#VALUE!</v>
      </c>
    </row>
    <row r="42" spans="1:9">
      <c r="A42" s="264" t="s">
        <v>382</v>
      </c>
      <c r="B42" s="264"/>
      <c r="C42" s="282">
        <v>0</v>
      </c>
      <c r="D42" s="282"/>
      <c r="F42" s="177" t="s">
        <v>387</v>
      </c>
      <c r="G42" s="14">
        <f>50+(C39*0.05)/12</f>
        <v>50</v>
      </c>
    </row>
    <row r="43" spans="1:9" ht="6" customHeight="1">
      <c r="B43" s="134"/>
      <c r="C43" s="134"/>
      <c r="D43" s="128"/>
      <c r="E43" s="128"/>
    </row>
    <row r="44" spans="1:9" ht="16">
      <c r="A44" s="251" t="s">
        <v>388</v>
      </c>
      <c r="B44" s="252"/>
      <c r="C44" s="252"/>
      <c r="D44" s="252"/>
      <c r="E44" s="252"/>
      <c r="F44" s="252"/>
      <c r="G44" s="252"/>
    </row>
    <row r="45" spans="1:9" ht="6" customHeight="1">
      <c r="A45" s="138"/>
      <c r="B45" s="128"/>
      <c r="C45" s="128"/>
      <c r="D45" s="128"/>
      <c r="E45" s="128"/>
      <c r="F45" s="128"/>
    </row>
    <row r="46" spans="1:9">
      <c r="A46" t="s">
        <v>162</v>
      </c>
      <c r="C46" s="16">
        <v>0</v>
      </c>
    </row>
    <row r="47" spans="1:9">
      <c r="A47" t="s">
        <v>161</v>
      </c>
      <c r="C47" s="16">
        <v>0</v>
      </c>
      <c r="E47" s="255" t="s">
        <v>348</v>
      </c>
      <c r="F47" s="256"/>
      <c r="G47" s="94">
        <f>C46+C49+C52</f>
        <v>0</v>
      </c>
    </row>
    <row r="48" spans="1:9" ht="7" customHeight="1">
      <c r="C48" s="11"/>
    </row>
    <row r="49" spans="1:7">
      <c r="A49" t="s">
        <v>163</v>
      </c>
      <c r="C49" s="16">
        <v>0</v>
      </c>
    </row>
    <row r="50" spans="1:7" ht="13" customHeight="1">
      <c r="A50" t="s">
        <v>164</v>
      </c>
      <c r="C50" s="16">
        <v>0</v>
      </c>
    </row>
    <row r="51" spans="1:7" ht="7" customHeight="1">
      <c r="C51" s="11"/>
    </row>
    <row r="52" spans="1:7">
      <c r="A52" t="s">
        <v>165</v>
      </c>
      <c r="C52" s="16">
        <v>0</v>
      </c>
      <c r="E52" s="255" t="s">
        <v>146</v>
      </c>
      <c r="F52" s="256"/>
      <c r="G52" s="94">
        <f>(C47+C50+C53)*+C23</f>
        <v>0</v>
      </c>
    </row>
    <row r="53" spans="1:7" ht="14" thickBot="1">
      <c r="A53" t="s">
        <v>166</v>
      </c>
      <c r="C53" s="181">
        <v>0</v>
      </c>
    </row>
    <row r="54" spans="1:7" ht="8" customHeight="1" thickTop="1">
      <c r="A54" s="182"/>
      <c r="B54" s="182"/>
      <c r="C54" s="182"/>
      <c r="D54" s="182"/>
      <c r="E54" s="182"/>
      <c r="F54" s="182"/>
      <c r="G54" s="183" t="s">
        <v>97</v>
      </c>
    </row>
    <row r="55" spans="1:7" ht="16">
      <c r="A55" s="251" t="s">
        <v>151</v>
      </c>
      <c r="B55" s="252"/>
      <c r="C55" s="252"/>
      <c r="D55" s="252"/>
      <c r="E55" s="252"/>
      <c r="F55" s="252"/>
      <c r="G55" s="252"/>
    </row>
    <row r="56" spans="1:7">
      <c r="A56" s="268" t="s">
        <v>283</v>
      </c>
      <c r="B56" s="269"/>
      <c r="C56" s="269"/>
      <c r="D56" s="269"/>
      <c r="E56" s="267" t="s">
        <v>27</v>
      </c>
      <c r="F56" s="252"/>
    </row>
    <row r="57" spans="1:7">
      <c r="A57" s="270" t="s">
        <v>392</v>
      </c>
      <c r="B57" s="271"/>
      <c r="C57" s="271"/>
      <c r="D57" s="271"/>
      <c r="E57" s="267" t="s">
        <v>28</v>
      </c>
      <c r="F57" s="252"/>
      <c r="G57" s="212" t="s">
        <v>77</v>
      </c>
    </row>
    <row r="58" spans="1:7">
      <c r="A58" s="270" t="s">
        <v>393</v>
      </c>
      <c r="B58" s="270"/>
      <c r="C58" s="270"/>
      <c r="D58" s="270"/>
      <c r="E58" s="267" t="s">
        <v>51</v>
      </c>
      <c r="F58" s="267"/>
      <c r="G58" s="213">
        <v>40091</v>
      </c>
    </row>
  </sheetData>
  <sheetProtection password="C640" sheet="1" objects="1" scenarios="1"/>
  <mergeCells count="42">
    <mergeCell ref="A27:C27"/>
    <mergeCell ref="B13:C13"/>
    <mergeCell ref="E14:F14"/>
    <mergeCell ref="A37:B37"/>
    <mergeCell ref="C39:D39"/>
    <mergeCell ref="E32:F32"/>
    <mergeCell ref="E31:G31"/>
    <mergeCell ref="A29:B29"/>
    <mergeCell ref="A38:B38"/>
    <mergeCell ref="A39:B39"/>
    <mergeCell ref="C37:D37"/>
    <mergeCell ref="C38:D38"/>
    <mergeCell ref="E58:F58"/>
    <mergeCell ref="A56:D56"/>
    <mergeCell ref="A57:D57"/>
    <mergeCell ref="A58:D58"/>
    <mergeCell ref="A55:G55"/>
    <mergeCell ref="E56:F56"/>
    <mergeCell ref="E57:F57"/>
    <mergeCell ref="E52:F52"/>
    <mergeCell ref="A44:G44"/>
    <mergeCell ref="C40:D40"/>
    <mergeCell ref="C41:D41"/>
    <mergeCell ref="A9:G9"/>
    <mergeCell ref="D23:E23"/>
    <mergeCell ref="E13:F13"/>
    <mergeCell ref="A14:B14"/>
    <mergeCell ref="C42:D42"/>
    <mergeCell ref="E47:F47"/>
    <mergeCell ref="A40:B40"/>
    <mergeCell ref="A41:B41"/>
    <mergeCell ref="A42:B42"/>
    <mergeCell ref="B31:D31"/>
    <mergeCell ref="B32:D32"/>
    <mergeCell ref="A35:G35"/>
    <mergeCell ref="A1:G1"/>
    <mergeCell ref="B3:C3"/>
    <mergeCell ref="B5:C5"/>
    <mergeCell ref="A25:G25"/>
    <mergeCell ref="D11:G11"/>
    <mergeCell ref="E12:F12"/>
    <mergeCell ref="B12:C12"/>
  </mergeCells>
  <phoneticPr fontId="25" type="noConversion"/>
  <hyperlinks>
    <hyperlink ref="E56" r:id="rId1"/>
    <hyperlink ref="E57" r:id="rId2"/>
    <hyperlink ref="E58" r:id="rId3"/>
    <hyperlink ref="F58" r:id="rId4" display="http://maps.google.com/"/>
  </hyperlinks>
  <pageMargins left="0.5" right="0.5" top="0.5" bottom="0.5" header="0.5" footer="0.5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MARRIAGE!$A$99:$A$100</xm:f>
          </x14:formula1>
          <xm:sqref>E10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"/>
  <sheetViews>
    <sheetView workbookViewId="0">
      <selection activeCell="E8" sqref="E8"/>
    </sheetView>
  </sheetViews>
  <sheetFormatPr baseColWidth="10" defaultRowHeight="13" x14ac:dyDescent="0"/>
  <cols>
    <col min="1" max="1" width="10.83203125" style="2"/>
    <col min="2" max="2" width="8.5" style="2" customWidth="1"/>
    <col min="3" max="3" width="9.5" style="2" customWidth="1"/>
    <col min="4" max="4" width="11.83203125" style="2" customWidth="1"/>
    <col min="5" max="5" width="9.6640625" style="8" customWidth="1"/>
    <col min="6" max="6" width="2.6640625" style="2" customWidth="1"/>
    <col min="7" max="7" width="5.5" style="4" customWidth="1"/>
    <col min="8" max="8" width="10.5" style="2" customWidth="1"/>
    <col min="9" max="9" width="2.33203125" style="3" customWidth="1"/>
    <col min="10" max="10" width="10.83203125" style="2"/>
    <col min="11" max="11" width="5" style="4" customWidth="1"/>
    <col min="23" max="16384" width="10.83203125" style="2"/>
  </cols>
  <sheetData>
    <row r="1" spans="1:22" ht="28">
      <c r="A1" s="1" t="s">
        <v>138</v>
      </c>
      <c r="B1" s="55"/>
      <c r="C1" s="55"/>
      <c r="D1" s="55"/>
      <c r="E1" s="151"/>
      <c r="F1" s="55"/>
      <c r="G1" s="56"/>
      <c r="H1" s="55"/>
      <c r="I1" s="57"/>
      <c r="J1" s="55"/>
      <c r="K1" s="56"/>
      <c r="L1" s="52"/>
    </row>
    <row r="2" spans="1:22" s="18" customFormat="1">
      <c r="A2" s="6" t="s">
        <v>232</v>
      </c>
      <c r="B2" s="290" t="str">
        <f>INFORMATION!B3</f>
        <v xml:space="preserve"> </v>
      </c>
      <c r="C2" s="291"/>
      <c r="D2" s="292"/>
      <c r="E2" s="288" t="s">
        <v>132</v>
      </c>
      <c r="F2" s="289"/>
      <c r="G2" s="289"/>
      <c r="H2" s="289"/>
      <c r="I2" s="52"/>
      <c r="J2" s="22">
        <f>INFORMATION!F7</f>
        <v>0</v>
      </c>
      <c r="K2" s="58"/>
      <c r="L2" s="5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s="18" customFormat="1">
      <c r="A3" s="6"/>
      <c r="B3" s="73"/>
      <c r="C3" s="73"/>
      <c r="D3" s="52"/>
      <c r="E3" s="52"/>
      <c r="F3" s="52"/>
      <c r="G3" s="52"/>
      <c r="H3" s="52"/>
      <c r="I3" s="52"/>
      <c r="J3" s="52"/>
      <c r="K3" s="58"/>
      <c r="L3" s="5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>
      <c r="A4" t="s">
        <v>78</v>
      </c>
      <c r="B4" s="52"/>
      <c r="C4" s="52"/>
      <c r="D4" s="52"/>
      <c r="E4" s="52"/>
      <c r="F4" s="55"/>
      <c r="G4" s="56"/>
      <c r="H4" s="60"/>
      <c r="I4" s="61" t="s">
        <v>334</v>
      </c>
      <c r="J4" s="60"/>
      <c r="K4" s="56"/>
      <c r="L4" s="62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>
      <c r="A5" s="7"/>
      <c r="B5" s="152"/>
      <c r="C5" s="153" t="s">
        <v>287</v>
      </c>
      <c r="D5" s="152"/>
      <c r="E5" s="154"/>
      <c r="F5" s="55"/>
      <c r="G5" s="63" t="s">
        <v>167</v>
      </c>
      <c r="H5" s="64"/>
      <c r="I5" s="65"/>
      <c r="J5" s="64"/>
      <c r="K5" s="68" t="s">
        <v>168</v>
      </c>
      <c r="L5" s="62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ht="15">
      <c r="B6" s="55"/>
      <c r="C6" s="55"/>
      <c r="D6" s="55"/>
      <c r="E6" s="155" t="s">
        <v>171</v>
      </c>
      <c r="F6" s="69"/>
      <c r="G6" s="70"/>
      <c r="H6" s="71"/>
      <c r="I6" s="72" t="s">
        <v>170</v>
      </c>
      <c r="J6" s="71"/>
      <c r="K6" s="70"/>
      <c r="L6" s="52"/>
    </row>
    <row r="7" spans="1:22" s="18" customFormat="1">
      <c r="A7" s="6" t="s">
        <v>44</v>
      </c>
      <c r="B7" s="73"/>
      <c r="C7" s="73"/>
      <c r="D7" s="73"/>
      <c r="E7" s="211">
        <v>1600</v>
      </c>
      <c r="F7" s="73"/>
      <c r="G7" s="74">
        <v>0.12</v>
      </c>
      <c r="H7" s="75">
        <f>J2*0.12</f>
        <v>0</v>
      </c>
      <c r="I7" s="76" t="s">
        <v>169</v>
      </c>
      <c r="J7" s="75">
        <f>J2*0.4</f>
        <v>0</v>
      </c>
      <c r="K7" s="74">
        <v>0.4</v>
      </c>
      <c r="L7" s="5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s="18" customFormat="1">
      <c r="B8" s="73"/>
      <c r="C8" s="73"/>
      <c r="D8" s="73"/>
      <c r="E8" s="50"/>
      <c r="F8" s="73"/>
      <c r="G8" s="58"/>
      <c r="H8" s="24"/>
      <c r="I8" s="77" t="s">
        <v>170</v>
      </c>
      <c r="J8" s="24"/>
      <c r="K8" s="58"/>
      <c r="L8" s="5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s="18" customFormat="1">
      <c r="A9" s="6" t="s">
        <v>147</v>
      </c>
      <c r="B9" s="73"/>
      <c r="C9" s="73"/>
      <c r="D9" s="73"/>
      <c r="E9" s="211">
        <f>E7*0.03</f>
        <v>48</v>
      </c>
      <c r="F9" s="73"/>
      <c r="G9" s="74">
        <v>0.01</v>
      </c>
      <c r="H9" s="75">
        <f>J2*0.01</f>
        <v>0</v>
      </c>
      <c r="I9" s="76" t="s">
        <v>169</v>
      </c>
      <c r="J9" s="75">
        <f>J2*0.05</f>
        <v>0</v>
      </c>
      <c r="K9" s="74">
        <v>0.05</v>
      </c>
      <c r="L9" s="5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s="18" customFormat="1">
      <c r="B10" s="73"/>
      <c r="C10" s="73"/>
      <c r="D10" s="156" t="s">
        <v>55</v>
      </c>
      <c r="E10" s="50" t="s">
        <v>170</v>
      </c>
      <c r="F10" s="73"/>
      <c r="G10" s="58"/>
      <c r="H10" s="24"/>
      <c r="I10" s="77" t="s">
        <v>170</v>
      </c>
      <c r="J10" s="24"/>
      <c r="K10" s="58"/>
      <c r="L10" s="5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s="18" customFormat="1">
      <c r="A11" s="6" t="s">
        <v>173</v>
      </c>
      <c r="B11" s="58"/>
      <c r="C11" s="58"/>
      <c r="D11" s="157">
        <f>G34*J37</f>
        <v>0</v>
      </c>
      <c r="E11" s="22">
        <f>D11+'MONTHLY LIVING'!F9</f>
        <v>38</v>
      </c>
      <c r="F11" s="73"/>
      <c r="G11" s="74">
        <v>0.01</v>
      </c>
      <c r="H11" s="75">
        <f>J2*0.01</f>
        <v>0</v>
      </c>
      <c r="I11" s="76" t="s">
        <v>169</v>
      </c>
      <c r="J11" s="75">
        <f>J2*0.04</f>
        <v>0</v>
      </c>
      <c r="K11" s="74">
        <v>0.04</v>
      </c>
      <c r="L11" s="5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s="18" customFormat="1">
      <c r="A12" s="6"/>
      <c r="B12" s="58"/>
      <c r="C12" s="58"/>
      <c r="D12" s="73"/>
      <c r="E12" s="50"/>
      <c r="F12" s="73"/>
      <c r="G12" s="58"/>
      <c r="H12" s="24"/>
      <c r="I12" s="77" t="s">
        <v>170</v>
      </c>
      <c r="J12" s="24"/>
      <c r="K12" s="58"/>
      <c r="L12" s="5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s="18" customFormat="1">
      <c r="A13" s="6" t="s">
        <v>174</v>
      </c>
      <c r="B13" s="58"/>
      <c r="C13" s="58"/>
      <c r="D13" s="157">
        <f>G35*J37</f>
        <v>0</v>
      </c>
      <c r="E13" s="22">
        <f>D13+'MONTHLY LIVING'!F12</f>
        <v>18</v>
      </c>
      <c r="F13" s="73"/>
      <c r="G13" s="74">
        <v>0.01</v>
      </c>
      <c r="H13" s="75">
        <f>J2*0.01</f>
        <v>0</v>
      </c>
      <c r="I13" s="76" t="s">
        <v>169</v>
      </c>
      <c r="J13" s="75">
        <f>J2*0.02</f>
        <v>0</v>
      </c>
      <c r="K13" s="74">
        <v>0.02</v>
      </c>
      <c r="L13" s="5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s="18" customFormat="1">
      <c r="A14" s="6"/>
      <c r="B14" s="58"/>
      <c r="C14" s="58"/>
      <c r="D14" s="73"/>
      <c r="E14" s="50"/>
      <c r="F14" s="73"/>
      <c r="G14" s="58"/>
      <c r="H14" s="24"/>
      <c r="I14" s="77" t="s">
        <v>170</v>
      </c>
      <c r="J14" s="24"/>
      <c r="K14" s="58"/>
      <c r="L14" s="5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s="18" customFormat="1">
      <c r="A15" s="6" t="s">
        <v>175</v>
      </c>
      <c r="B15" s="58"/>
      <c r="C15" s="58"/>
      <c r="D15" s="157">
        <f>G33*J37</f>
        <v>0</v>
      </c>
      <c r="E15" s="22">
        <f>D15+'MONTHLY LIVING'!F15</f>
        <v>32</v>
      </c>
      <c r="F15" s="73"/>
      <c r="G15" s="74">
        <v>0.01</v>
      </c>
      <c r="H15" s="75">
        <f>J2*0.01</f>
        <v>0</v>
      </c>
      <c r="I15" s="76" t="s">
        <v>169</v>
      </c>
      <c r="J15" s="75">
        <f>J2*0.02</f>
        <v>0</v>
      </c>
      <c r="K15" s="74">
        <v>0.02</v>
      </c>
      <c r="L15" s="5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s="18" customFormat="1">
      <c r="A16" s="6"/>
      <c r="B16" s="58"/>
      <c r="C16" s="58"/>
      <c r="D16" s="73"/>
      <c r="E16" s="50"/>
      <c r="F16" s="73"/>
      <c r="G16" s="58"/>
      <c r="H16" s="24"/>
      <c r="I16" s="77" t="s">
        <v>170</v>
      </c>
      <c r="J16" s="24"/>
      <c r="K16" s="58"/>
      <c r="L16" s="5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s="18" customFormat="1">
      <c r="A17" s="6" t="s">
        <v>176</v>
      </c>
      <c r="B17" s="58"/>
      <c r="C17" s="58"/>
      <c r="D17" s="73"/>
      <c r="E17" s="22">
        <f>'MONTHLY LIVING'!F17</f>
        <v>40</v>
      </c>
      <c r="F17" s="73"/>
      <c r="G17" s="74">
        <v>0.01</v>
      </c>
      <c r="H17" s="75">
        <f>J2*0.01</f>
        <v>0</v>
      </c>
      <c r="I17" s="76" t="s">
        <v>169</v>
      </c>
      <c r="J17" s="75">
        <f>J2*0.03</f>
        <v>0</v>
      </c>
      <c r="K17" s="74">
        <v>0.03</v>
      </c>
      <c r="L17" s="5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s="18" customFormat="1">
      <c r="A18" s="6"/>
      <c r="B18" s="58"/>
      <c r="C18" s="58"/>
      <c r="D18" s="73"/>
      <c r="E18" s="50"/>
      <c r="F18" s="73"/>
      <c r="G18" s="58"/>
      <c r="H18" s="24"/>
      <c r="I18" s="77" t="s">
        <v>170</v>
      </c>
      <c r="J18" s="24"/>
      <c r="K18" s="58"/>
      <c r="L18" s="5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s="18" customFormat="1">
      <c r="A19" s="6" t="s">
        <v>355</v>
      </c>
      <c r="B19" s="58"/>
      <c r="C19" s="58"/>
      <c r="D19" s="73"/>
      <c r="E19" s="22">
        <f>60</f>
        <v>60</v>
      </c>
      <c r="F19" s="73"/>
      <c r="G19" s="74">
        <v>0.01</v>
      </c>
      <c r="H19" s="75">
        <f>J2*0.01</f>
        <v>0</v>
      </c>
      <c r="I19" s="76" t="s">
        <v>169</v>
      </c>
      <c r="J19" s="75">
        <f>J2*0.03</f>
        <v>0</v>
      </c>
      <c r="K19" s="74">
        <v>0.03</v>
      </c>
      <c r="L19" s="5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s="18" customFormat="1">
      <c r="A20" s="6"/>
      <c r="B20" s="58"/>
      <c r="C20" s="58"/>
      <c r="D20" s="73"/>
      <c r="E20" s="50"/>
      <c r="F20" s="73"/>
      <c r="G20" s="52"/>
      <c r="H20" s="78"/>
      <c r="I20" s="78"/>
      <c r="J20" s="78"/>
      <c r="K20" s="52"/>
      <c r="L20" s="5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s="18" customFormat="1">
      <c r="A21" s="6" t="s">
        <v>178</v>
      </c>
      <c r="B21" s="58"/>
      <c r="C21" s="58"/>
      <c r="D21" s="73"/>
      <c r="E21" s="22">
        <f>E23*0.3</f>
        <v>0</v>
      </c>
      <c r="F21" s="73"/>
      <c r="G21" s="74">
        <v>0.01</v>
      </c>
      <c r="H21" s="75">
        <f>J2*0.01</f>
        <v>0</v>
      </c>
      <c r="I21" s="76" t="s">
        <v>169</v>
      </c>
      <c r="J21" s="75">
        <f>J2*0.03</f>
        <v>0</v>
      </c>
      <c r="K21" s="74">
        <v>0.03</v>
      </c>
      <c r="L21" s="5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s="18" customFormat="1">
      <c r="A22" s="6"/>
      <c r="B22" s="58"/>
      <c r="C22" s="58"/>
      <c r="D22" s="73"/>
      <c r="E22" s="50" t="s">
        <v>170</v>
      </c>
      <c r="F22" s="73"/>
      <c r="G22" s="58"/>
      <c r="H22" s="24"/>
      <c r="I22" s="77" t="s">
        <v>170</v>
      </c>
      <c r="J22" s="24"/>
      <c r="K22" s="58"/>
      <c r="L22" s="5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s="18" customFormat="1">
      <c r="A23" s="6" t="s">
        <v>179</v>
      </c>
      <c r="B23" s="58"/>
      <c r="C23" s="58"/>
      <c r="D23" s="73"/>
      <c r="E23" s="22">
        <f>INFORMATION!C42</f>
        <v>0</v>
      </c>
      <c r="F23" s="73"/>
      <c r="G23" s="74">
        <v>7.0000000000000007E-2</v>
      </c>
      <c r="H23" s="75">
        <f>J2*0.07</f>
        <v>0</v>
      </c>
      <c r="I23" s="76" t="s">
        <v>169</v>
      </c>
      <c r="J23" s="75">
        <f>J2*0.15</f>
        <v>0</v>
      </c>
      <c r="K23" s="74">
        <v>0.15</v>
      </c>
      <c r="L23" s="5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s="18" customFormat="1">
      <c r="B24" s="73"/>
      <c r="C24" s="73"/>
      <c r="D24" s="73"/>
      <c r="E24" s="50"/>
      <c r="F24" s="73"/>
      <c r="G24" s="58"/>
      <c r="H24" s="24"/>
      <c r="I24" s="77" t="s">
        <v>170</v>
      </c>
      <c r="J24" s="24"/>
      <c r="K24" s="58"/>
      <c r="L24" s="5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s="18" customFormat="1">
      <c r="A25" s="6" t="s">
        <v>180</v>
      </c>
      <c r="B25" s="58"/>
      <c r="C25" s="73"/>
      <c r="D25" s="157">
        <f>G32*J37</f>
        <v>0</v>
      </c>
      <c r="E25" s="22">
        <f>D25+'MONTHLY LIVING'!F33</f>
        <v>200</v>
      </c>
      <c r="F25" s="73"/>
      <c r="G25" s="74">
        <v>0.06</v>
      </c>
      <c r="H25" s="75">
        <f>J2*0.06</f>
        <v>0</v>
      </c>
      <c r="I25" s="76" t="s">
        <v>169</v>
      </c>
      <c r="J25" s="75">
        <f>J2*0.12</f>
        <v>0</v>
      </c>
      <c r="K25" s="74">
        <v>0.12</v>
      </c>
      <c r="L25" s="5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s="18" customFormat="1">
      <c r="A26" s="6"/>
      <c r="B26" s="58"/>
      <c r="C26" s="73"/>
      <c r="D26" s="73"/>
      <c r="E26" s="50"/>
      <c r="F26" s="73"/>
      <c r="G26" s="58"/>
      <c r="H26" s="24"/>
      <c r="I26" s="77" t="s">
        <v>170</v>
      </c>
      <c r="J26" s="24"/>
      <c r="K26" s="58"/>
      <c r="L26" s="5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s="18" customFormat="1">
      <c r="A27" s="6" t="s">
        <v>52</v>
      </c>
      <c r="B27" s="58"/>
      <c r="C27" s="73"/>
      <c r="D27" s="157">
        <f>K33*J37</f>
        <v>0</v>
      </c>
      <c r="E27" s="22">
        <f>IF(E23&gt;0,115+D27,0)</f>
        <v>0</v>
      </c>
      <c r="F27" s="73"/>
      <c r="G27" s="74">
        <v>0.02</v>
      </c>
      <c r="H27" s="75">
        <f>J2*0.02</f>
        <v>0</v>
      </c>
      <c r="I27" s="76" t="s">
        <v>169</v>
      </c>
      <c r="J27" s="75">
        <f>J2*0.05</f>
        <v>0</v>
      </c>
      <c r="K27" s="74">
        <v>0.05</v>
      </c>
      <c r="L27" s="5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s="18" customFormat="1">
      <c r="A28" s="6"/>
      <c r="B28" s="58"/>
      <c r="C28" s="73"/>
      <c r="D28" s="73"/>
      <c r="E28" s="50"/>
      <c r="F28" s="73"/>
      <c r="G28" s="58"/>
      <c r="H28" s="24"/>
      <c r="I28" s="77" t="s">
        <v>170</v>
      </c>
      <c r="J28" s="24"/>
      <c r="K28" s="58"/>
      <c r="L28" s="5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s="18" customFormat="1">
      <c r="A29" s="6" t="s">
        <v>260</v>
      </c>
      <c r="B29" s="58"/>
      <c r="C29" s="73"/>
      <c r="D29" s="157">
        <f>K34*J37</f>
        <v>0</v>
      </c>
      <c r="E29" s="22">
        <f>D29+'MONTHLY LIVING'!F42</f>
        <v>20</v>
      </c>
      <c r="F29" s="73"/>
      <c r="G29" s="74">
        <v>0.01</v>
      </c>
      <c r="H29" s="75">
        <f>J2*0.01</f>
        <v>0</v>
      </c>
      <c r="I29" s="76" t="s">
        <v>169</v>
      </c>
      <c r="J29" s="75">
        <f>J2*0.04</f>
        <v>0</v>
      </c>
      <c r="K29" s="74">
        <v>0.04</v>
      </c>
      <c r="L29" s="5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s="18" customFormat="1">
      <c r="A30"/>
      <c r="B30" s="52"/>
      <c r="C30" s="52"/>
      <c r="D30" s="52"/>
      <c r="E30" s="52" t="s">
        <v>357</v>
      </c>
      <c r="F30" s="52"/>
      <c r="G30" s="52"/>
      <c r="H30" s="52"/>
      <c r="I30" s="52"/>
      <c r="J30" s="52"/>
      <c r="K30" s="52"/>
      <c r="L30" s="52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s="18" customFormat="1">
      <c r="A31"/>
      <c r="B31"/>
      <c r="C31"/>
      <c r="D31"/>
      <c r="E31"/>
      <c r="F31" s="73"/>
      <c r="G31" s="99"/>
      <c r="H31" s="100"/>
      <c r="I31" s="101" t="s">
        <v>54</v>
      </c>
      <c r="J31" s="100"/>
      <c r="K31" s="102"/>
      <c r="L31" s="5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s="18" customFormat="1">
      <c r="A32" s="6"/>
      <c r="B32" s="58"/>
      <c r="C32" s="73"/>
      <c r="D32" s="73"/>
      <c r="E32" s="83"/>
      <c r="F32" s="73"/>
      <c r="G32" s="103">
        <v>50</v>
      </c>
      <c r="H32" s="66" t="s">
        <v>180</v>
      </c>
      <c r="I32" s="67"/>
      <c r="J32" s="67" t="s">
        <v>123</v>
      </c>
      <c r="K32" s="106">
        <v>40</v>
      </c>
      <c r="L32" s="5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s="18" customFormat="1">
      <c r="A33" s="21" t="s">
        <v>318</v>
      </c>
      <c r="B33" s="158"/>
      <c r="C33" s="159"/>
      <c r="D33" s="73"/>
      <c r="E33" s="22">
        <f>SUM(E7:E31)+D11+D13+D15+D25+D27+D29+D31</f>
        <v>2056</v>
      </c>
      <c r="F33" s="73"/>
      <c r="G33" s="104">
        <v>15</v>
      </c>
      <c r="H33" s="95" t="s">
        <v>255</v>
      </c>
      <c r="I33" s="96"/>
      <c r="J33" s="96" t="s">
        <v>237</v>
      </c>
      <c r="K33" s="107">
        <v>10</v>
      </c>
      <c r="L33" s="5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s="18" customFormat="1">
      <c r="A34"/>
      <c r="B34" s="52"/>
      <c r="C34" s="52"/>
      <c r="D34" s="52"/>
      <c r="E34" s="52"/>
      <c r="F34" s="73"/>
      <c r="G34" s="104">
        <v>15</v>
      </c>
      <c r="H34" s="95" t="s">
        <v>256</v>
      </c>
      <c r="I34" s="96"/>
      <c r="J34" s="96" t="s">
        <v>53</v>
      </c>
      <c r="K34" s="107">
        <v>25</v>
      </c>
      <c r="L34" s="5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s="18" customFormat="1">
      <c r="A35" s="51" t="s">
        <v>62</v>
      </c>
      <c r="B35" s="160"/>
      <c r="C35" s="161"/>
      <c r="D35" s="52"/>
      <c r="E35" s="52"/>
      <c r="F35" s="73"/>
      <c r="G35" s="105">
        <v>15</v>
      </c>
      <c r="H35" s="97" t="s">
        <v>254</v>
      </c>
      <c r="I35" s="98"/>
      <c r="J35" s="98"/>
      <c r="K35" s="108"/>
      <c r="L35" s="5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s="18" customFormat="1">
      <c r="B36" s="52"/>
      <c r="C36" s="52"/>
      <c r="D36" s="52"/>
      <c r="E36" s="52"/>
      <c r="F36" s="73"/>
      <c r="G36" s="52"/>
      <c r="H36" s="78"/>
      <c r="I36" s="78"/>
      <c r="J36" s="78"/>
      <c r="K36" s="52"/>
      <c r="L36" s="5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s="18" customFormat="1">
      <c r="A37" t="s">
        <v>61</v>
      </c>
      <c r="B37" s="52"/>
      <c r="C37" s="52"/>
      <c r="D37" s="52"/>
      <c r="E37" s="15">
        <f>J37*450</f>
        <v>0</v>
      </c>
      <c r="F37" s="73"/>
      <c r="G37" s="52" t="s">
        <v>63</v>
      </c>
      <c r="H37" s="78"/>
      <c r="I37" s="78"/>
      <c r="J37" s="162">
        <f>INFORMATION!C23</f>
        <v>0</v>
      </c>
      <c r="K37" s="52"/>
      <c r="L37" s="5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s="18" customFormat="1">
      <c r="B38" s="73"/>
      <c r="C38" s="73"/>
      <c r="D38" s="73"/>
      <c r="E38" s="24"/>
      <c r="F38" s="73"/>
      <c r="G38" s="58"/>
      <c r="H38" s="73"/>
      <c r="I38" s="79" t="s">
        <v>170</v>
      </c>
      <c r="J38" s="73"/>
      <c r="K38" s="58"/>
      <c r="L38" s="5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s="18" customFormat="1">
      <c r="A39" s="20"/>
      <c r="B39" s="158"/>
      <c r="C39" s="163" t="s">
        <v>29</v>
      </c>
      <c r="D39" s="158"/>
      <c r="E39" s="25"/>
      <c r="F39" s="73"/>
      <c r="G39" s="80" t="s">
        <v>30</v>
      </c>
      <c r="H39" s="81"/>
      <c r="I39" s="79" t="s">
        <v>31</v>
      </c>
      <c r="J39" s="22">
        <f>J2*0.15</f>
        <v>0</v>
      </c>
      <c r="K39" s="58"/>
      <c r="L39" s="5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s="18" customFormat="1">
      <c r="B40" s="73"/>
      <c r="C40" s="73"/>
      <c r="D40" s="73"/>
      <c r="E40" s="24"/>
      <c r="F40" s="73"/>
      <c r="G40" s="58"/>
      <c r="H40" s="73"/>
      <c r="I40" s="79" t="s">
        <v>170</v>
      </c>
      <c r="J40" s="73"/>
      <c r="K40" s="58"/>
      <c r="L40" s="5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s="18" customFormat="1">
      <c r="A41" s="6" t="s">
        <v>322</v>
      </c>
      <c r="B41" s="58"/>
      <c r="C41" s="73"/>
      <c r="D41" s="73"/>
      <c r="E41" s="22">
        <f>J39*0.2</f>
        <v>0</v>
      </c>
      <c r="F41" s="73"/>
      <c r="G41" s="74">
        <v>0.04</v>
      </c>
      <c r="H41" s="75">
        <f>J2*0.04</f>
        <v>0</v>
      </c>
      <c r="I41" s="82" t="s">
        <v>169</v>
      </c>
      <c r="J41" s="75">
        <f>J2*0.07</f>
        <v>0</v>
      </c>
      <c r="K41" s="74">
        <v>7.0000000000000007E-2</v>
      </c>
      <c r="L41" s="5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s="18" customFormat="1">
      <c r="B42" s="73"/>
      <c r="C42" s="73"/>
      <c r="D42" s="73"/>
      <c r="E42" s="50"/>
      <c r="F42" s="73"/>
      <c r="G42" s="58"/>
      <c r="H42" s="73"/>
      <c r="I42" s="79"/>
      <c r="J42" s="73"/>
      <c r="K42" s="58"/>
      <c r="L42" s="5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s="18" customFormat="1">
      <c r="A43" s="6" t="s">
        <v>71</v>
      </c>
      <c r="B43" s="58"/>
      <c r="C43" s="73"/>
      <c r="D43" s="73"/>
      <c r="E43" s="22">
        <f>J39*0.2</f>
        <v>0</v>
      </c>
      <c r="F43" s="73"/>
      <c r="G43" s="74">
        <v>0.03</v>
      </c>
      <c r="H43" s="75">
        <f>J2*0.03</f>
        <v>0</v>
      </c>
      <c r="I43" s="82" t="s">
        <v>169</v>
      </c>
      <c r="J43" s="75">
        <f>J2*0.06</f>
        <v>0</v>
      </c>
      <c r="K43" s="74">
        <v>0.06</v>
      </c>
      <c r="L43" s="5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s="18" customFormat="1">
      <c r="B44" s="73"/>
      <c r="C44" s="73"/>
      <c r="D44" s="73"/>
      <c r="E44" s="50"/>
      <c r="F44" s="73"/>
      <c r="G44" s="58"/>
      <c r="H44" s="73"/>
      <c r="I44" s="79"/>
      <c r="J44" s="73"/>
      <c r="K44" s="58"/>
      <c r="L44" s="5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s="18" customFormat="1">
      <c r="A45" s="6" t="s">
        <v>33</v>
      </c>
      <c r="B45" s="58"/>
      <c r="C45" s="73"/>
      <c r="D45" s="73"/>
      <c r="E45" s="22">
        <f>J39*0.2</f>
        <v>0</v>
      </c>
      <c r="F45" s="73"/>
      <c r="G45" s="74">
        <v>0.03</v>
      </c>
      <c r="H45" s="75">
        <f>J2*0.03</f>
        <v>0</v>
      </c>
      <c r="I45" s="82" t="s">
        <v>169</v>
      </c>
      <c r="J45" s="75">
        <f>J2*0.05</f>
        <v>0</v>
      </c>
      <c r="K45" s="74">
        <v>0.05</v>
      </c>
      <c r="L45" s="5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s="18" customFormat="1">
      <c r="B46" s="73"/>
      <c r="C46" s="73"/>
      <c r="D46" s="73"/>
      <c r="E46" s="50"/>
      <c r="F46" s="73"/>
      <c r="G46" s="58"/>
      <c r="H46" s="73"/>
      <c r="I46" s="79"/>
      <c r="J46" s="73"/>
      <c r="K46" s="58"/>
      <c r="L46" s="5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s="18" customFormat="1">
      <c r="A47" s="6" t="s">
        <v>34</v>
      </c>
      <c r="B47" s="58"/>
      <c r="C47" s="73"/>
      <c r="D47" s="73"/>
      <c r="E47" s="22">
        <f>J39*0.2</f>
        <v>0</v>
      </c>
      <c r="F47" s="73"/>
      <c r="G47" s="74">
        <v>0.02</v>
      </c>
      <c r="H47" s="75">
        <f>J2*0.02</f>
        <v>0</v>
      </c>
      <c r="I47" s="82" t="s">
        <v>169</v>
      </c>
      <c r="J47" s="75">
        <f>J2*0.05</f>
        <v>0</v>
      </c>
      <c r="K47" s="74">
        <v>0.05</v>
      </c>
      <c r="L47" s="5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s="18" customFormat="1">
      <c r="B48" s="73"/>
      <c r="C48" s="73"/>
      <c r="D48" s="73"/>
      <c r="E48" s="50"/>
      <c r="F48" s="73"/>
      <c r="G48" s="58"/>
      <c r="H48" s="73"/>
      <c r="I48" s="79"/>
      <c r="J48" s="73"/>
      <c r="K48" s="58"/>
      <c r="L48" s="5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s="18" customFormat="1">
      <c r="A49" s="6" t="s">
        <v>41</v>
      </c>
      <c r="B49" s="58"/>
      <c r="C49" s="73"/>
      <c r="D49" s="73"/>
      <c r="E49" s="22">
        <f>J39*0.2</f>
        <v>0</v>
      </c>
      <c r="F49" s="73"/>
      <c r="G49" s="74">
        <v>0.05</v>
      </c>
      <c r="H49" s="75">
        <f>J2*0.05</f>
        <v>0</v>
      </c>
      <c r="I49" s="82" t="s">
        <v>169</v>
      </c>
      <c r="J49" s="75">
        <f>J2*0.1</f>
        <v>0</v>
      </c>
      <c r="K49" s="74">
        <v>0.1</v>
      </c>
      <c r="L49" s="5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s="18" customFormat="1">
      <c r="B50" s="73"/>
      <c r="C50" s="73"/>
      <c r="D50" s="73"/>
      <c r="E50" s="50"/>
      <c r="F50" s="73"/>
      <c r="G50" s="58"/>
      <c r="H50" s="73"/>
      <c r="I50" s="79"/>
      <c r="J50" s="73"/>
      <c r="K50" s="58"/>
      <c r="L50" s="5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s="18" customFormat="1">
      <c r="B51" s="73"/>
      <c r="C51" s="73"/>
      <c r="D51" s="73"/>
      <c r="E51" s="50"/>
      <c r="F51" s="73"/>
      <c r="G51" s="58"/>
      <c r="H51" s="73"/>
      <c r="I51" s="79"/>
      <c r="J51" s="215" t="str">
        <f>IF(J52&gt;=100, "GOOD", "NEED TO CUT YOUR SPENDING")</f>
        <v>NEED TO CUT YOUR SPENDING</v>
      </c>
      <c r="K51" s="58"/>
      <c r="L51" s="5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s="18" customFormat="1">
      <c r="A52" s="21" t="s">
        <v>43</v>
      </c>
      <c r="B52" s="158"/>
      <c r="C52" s="159" t="s">
        <v>170</v>
      </c>
      <c r="D52" s="73"/>
      <c r="E52" s="22">
        <f>SUM(E7:E49)+J39-E33</f>
        <v>2056</v>
      </c>
      <c r="F52" s="73"/>
      <c r="G52" s="58" t="s">
        <v>42</v>
      </c>
      <c r="H52" s="73"/>
      <c r="I52" s="79"/>
      <c r="J52" s="22">
        <f>J2-E52</f>
        <v>-2056</v>
      </c>
      <c r="K52" s="58"/>
      <c r="L52" s="5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s="18" customFormat="1">
      <c r="A53" s="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>
      <c r="A54" t="s">
        <v>356</v>
      </c>
      <c r="B54" s="52"/>
      <c r="C54" s="52"/>
      <c r="D54" s="52"/>
      <c r="E54" s="136" t="s">
        <v>244</v>
      </c>
      <c r="F54" s="52"/>
      <c r="G54" s="52"/>
      <c r="H54" s="52"/>
      <c r="I54" s="52"/>
      <c r="J54" s="52"/>
      <c r="K54" s="52"/>
    </row>
    <row r="55" spans="1:22">
      <c r="A55"/>
      <c r="B55"/>
      <c r="C55"/>
      <c r="D55"/>
      <c r="E55"/>
      <c r="F55"/>
      <c r="G55"/>
      <c r="H55"/>
      <c r="I55"/>
      <c r="J55"/>
      <c r="K55"/>
    </row>
    <row r="56" spans="1:22">
      <c r="B56"/>
      <c r="C56"/>
      <c r="D56"/>
      <c r="E56"/>
      <c r="F56"/>
      <c r="G56"/>
      <c r="H56"/>
      <c r="I56"/>
      <c r="J56"/>
      <c r="K56"/>
    </row>
    <row r="57" spans="1:22">
      <c r="A57"/>
      <c r="B57"/>
      <c r="C57"/>
      <c r="D57"/>
      <c r="E57"/>
      <c r="F57"/>
      <c r="G57"/>
      <c r="H57"/>
      <c r="I57"/>
      <c r="J57"/>
      <c r="K57"/>
    </row>
    <row r="58" spans="1:22">
      <c r="A58"/>
      <c r="B58"/>
      <c r="C58"/>
      <c r="D58"/>
      <c r="E58"/>
      <c r="F58"/>
      <c r="G58"/>
      <c r="H58"/>
      <c r="I58"/>
      <c r="J58"/>
      <c r="K58"/>
    </row>
    <row r="59" spans="1:22">
      <c r="A59"/>
      <c r="B59"/>
      <c r="C59"/>
      <c r="D59"/>
      <c r="E59"/>
      <c r="F59"/>
      <c r="G59"/>
      <c r="H59"/>
      <c r="I59"/>
      <c r="J59"/>
      <c r="K59"/>
    </row>
    <row r="60" spans="1:22">
      <c r="A60"/>
      <c r="B60"/>
      <c r="C60"/>
      <c r="D60"/>
      <c r="E60"/>
      <c r="F60"/>
      <c r="G60"/>
      <c r="H60"/>
      <c r="I60"/>
      <c r="J60"/>
      <c r="K60"/>
    </row>
    <row r="61" spans="1:22">
      <c r="A61"/>
      <c r="B61"/>
      <c r="C61"/>
      <c r="D61"/>
      <c r="E61"/>
      <c r="F61"/>
      <c r="G61"/>
      <c r="H61"/>
      <c r="I61"/>
      <c r="J61"/>
      <c r="K61"/>
    </row>
    <row r="62" spans="1:22">
      <c r="A62"/>
      <c r="B62"/>
      <c r="C62"/>
      <c r="D62"/>
      <c r="E62"/>
      <c r="F62"/>
      <c r="G62"/>
      <c r="H62"/>
      <c r="I62"/>
      <c r="J62"/>
      <c r="K62"/>
    </row>
    <row r="63" spans="1:22">
      <c r="A63"/>
      <c r="B63"/>
      <c r="C63"/>
      <c r="D63"/>
      <c r="E63"/>
      <c r="F63"/>
      <c r="G63"/>
      <c r="H63"/>
      <c r="I63"/>
      <c r="J63"/>
      <c r="K63"/>
    </row>
    <row r="64" spans="1:22">
      <c r="A64"/>
      <c r="B64"/>
      <c r="C64"/>
      <c r="D64"/>
      <c r="E64"/>
      <c r="F64"/>
      <c r="G64"/>
      <c r="H64"/>
      <c r="I64"/>
      <c r="J64"/>
      <c r="K64"/>
    </row>
    <row r="65" spans="1:11">
      <c r="A65"/>
      <c r="B65"/>
      <c r="C65"/>
      <c r="D65"/>
      <c r="E65"/>
      <c r="F65"/>
      <c r="G65"/>
      <c r="H65"/>
      <c r="I65"/>
      <c r="J65"/>
      <c r="K65"/>
    </row>
    <row r="66" spans="1:11">
      <c r="A66"/>
      <c r="B66"/>
      <c r="C66"/>
      <c r="D66"/>
      <c r="E66"/>
      <c r="F66"/>
      <c r="G66"/>
      <c r="H66"/>
      <c r="I66"/>
      <c r="J66"/>
      <c r="K66"/>
    </row>
    <row r="67" spans="1:11">
      <c r="A67"/>
      <c r="B67"/>
      <c r="C67"/>
      <c r="D67"/>
      <c r="E67"/>
      <c r="F67"/>
      <c r="G67"/>
      <c r="H67"/>
      <c r="I67"/>
      <c r="J67"/>
      <c r="K67"/>
    </row>
    <row r="68" spans="1:11">
      <c r="A68"/>
      <c r="B68"/>
      <c r="C68"/>
      <c r="D68"/>
      <c r="E68"/>
      <c r="F68"/>
      <c r="G68"/>
      <c r="H68"/>
      <c r="I68"/>
      <c r="J68"/>
      <c r="K68"/>
    </row>
    <row r="69" spans="1:11">
      <c r="A69"/>
      <c r="B69"/>
      <c r="C69"/>
      <c r="D69"/>
      <c r="E69"/>
      <c r="F69"/>
      <c r="G69"/>
      <c r="H69"/>
      <c r="I69"/>
      <c r="J69"/>
      <c r="K69"/>
    </row>
    <row r="70" spans="1:11">
      <c r="A70"/>
      <c r="B70"/>
      <c r="C70"/>
      <c r="D70"/>
      <c r="E70"/>
      <c r="F70"/>
      <c r="G70"/>
      <c r="H70"/>
      <c r="I70"/>
      <c r="J70"/>
      <c r="K70"/>
    </row>
    <row r="71" spans="1:11">
      <c r="A71"/>
      <c r="B71"/>
      <c r="C71"/>
      <c r="D71"/>
      <c r="E71"/>
      <c r="F71"/>
      <c r="G71"/>
      <c r="H71"/>
      <c r="I71"/>
      <c r="J71"/>
      <c r="K71"/>
    </row>
    <row r="72" spans="1:11">
      <c r="A72"/>
      <c r="B72"/>
      <c r="C72"/>
      <c r="D72"/>
      <c r="E72"/>
      <c r="F72"/>
      <c r="G72"/>
      <c r="H72"/>
      <c r="I72"/>
      <c r="J72"/>
      <c r="K72"/>
    </row>
    <row r="73" spans="1:11">
      <c r="A73"/>
      <c r="B73"/>
      <c r="C73"/>
      <c r="D73"/>
      <c r="E73"/>
      <c r="F73"/>
      <c r="G73"/>
      <c r="H73"/>
      <c r="I73"/>
      <c r="J73"/>
      <c r="K73"/>
    </row>
    <row r="74" spans="1:11">
      <c r="A74"/>
      <c r="B74"/>
      <c r="C74"/>
      <c r="D74"/>
      <c r="E74"/>
      <c r="F74"/>
      <c r="G74"/>
      <c r="H74"/>
      <c r="I74"/>
      <c r="J74"/>
      <c r="K74"/>
    </row>
    <row r="75" spans="1:11">
      <c r="A75"/>
      <c r="B75"/>
      <c r="C75"/>
      <c r="D75"/>
      <c r="E75"/>
      <c r="F75"/>
      <c r="G75"/>
      <c r="H75"/>
      <c r="I75"/>
      <c r="J75"/>
      <c r="K75"/>
    </row>
    <row r="76" spans="1:11">
      <c r="A76"/>
      <c r="B76"/>
      <c r="C76"/>
      <c r="D76"/>
      <c r="E76"/>
      <c r="F76"/>
      <c r="G76"/>
      <c r="H76"/>
      <c r="I76"/>
      <c r="J76"/>
      <c r="K76"/>
    </row>
    <row r="77" spans="1:11">
      <c r="A77"/>
      <c r="B77"/>
      <c r="C77"/>
      <c r="D77"/>
      <c r="E77"/>
      <c r="F77"/>
      <c r="G77"/>
      <c r="H77"/>
      <c r="I77"/>
      <c r="J77"/>
      <c r="K77"/>
    </row>
    <row r="78" spans="1:11">
      <c r="A78"/>
      <c r="B78"/>
      <c r="C78"/>
      <c r="D78"/>
      <c r="E78"/>
      <c r="F78"/>
      <c r="G78"/>
      <c r="H78"/>
      <c r="I78"/>
      <c r="J78"/>
      <c r="K78"/>
    </row>
    <row r="79" spans="1:11">
      <c r="A79"/>
      <c r="B79"/>
      <c r="C79"/>
      <c r="D79"/>
      <c r="E79"/>
      <c r="F79"/>
      <c r="G79"/>
      <c r="H79"/>
      <c r="I79"/>
      <c r="J79"/>
      <c r="K79"/>
    </row>
    <row r="80" spans="1:11">
      <c r="A80"/>
      <c r="B80"/>
      <c r="C80"/>
      <c r="D80"/>
      <c r="E80"/>
      <c r="F80"/>
      <c r="G80"/>
      <c r="H80"/>
      <c r="I80"/>
      <c r="J80"/>
      <c r="K80"/>
    </row>
    <row r="81" spans="1:11">
      <c r="A81"/>
      <c r="B81"/>
      <c r="C81"/>
      <c r="D81"/>
      <c r="E81"/>
      <c r="F81"/>
      <c r="G81"/>
      <c r="H81"/>
      <c r="I81"/>
      <c r="J81"/>
      <c r="K81"/>
    </row>
    <row r="82" spans="1:11">
      <c r="A82"/>
      <c r="B82"/>
      <c r="C82"/>
      <c r="D82"/>
      <c r="E82"/>
      <c r="F82"/>
      <c r="G82"/>
      <c r="H82"/>
      <c r="I82"/>
      <c r="J82"/>
      <c r="K82"/>
    </row>
    <row r="83" spans="1:11">
      <c r="A83"/>
      <c r="B83"/>
      <c r="C83"/>
      <c r="D83"/>
      <c r="E83"/>
      <c r="F83"/>
      <c r="G83"/>
      <c r="H83"/>
      <c r="I83"/>
      <c r="J83"/>
      <c r="K83"/>
    </row>
    <row r="84" spans="1:11">
      <c r="A84"/>
      <c r="B84"/>
      <c r="C84"/>
      <c r="D84"/>
      <c r="E84"/>
      <c r="F84"/>
      <c r="G84"/>
      <c r="H84"/>
      <c r="I84"/>
      <c r="J84"/>
      <c r="K84"/>
    </row>
    <row r="85" spans="1:11">
      <c r="A85"/>
      <c r="B85"/>
      <c r="C85"/>
      <c r="D85"/>
      <c r="E85"/>
      <c r="F85"/>
      <c r="G85"/>
      <c r="H85"/>
      <c r="I85"/>
      <c r="J85"/>
      <c r="K85"/>
    </row>
    <row r="86" spans="1:11">
      <c r="A86"/>
      <c r="B86"/>
      <c r="C86"/>
      <c r="D86"/>
      <c r="E86"/>
      <c r="F86"/>
      <c r="G86"/>
      <c r="H86"/>
      <c r="I86"/>
      <c r="J86"/>
      <c r="K86"/>
    </row>
    <row r="87" spans="1:11">
      <c r="A87"/>
      <c r="B87"/>
      <c r="C87"/>
      <c r="D87"/>
      <c r="E87"/>
      <c r="F87"/>
      <c r="G87"/>
      <c r="H87"/>
      <c r="I87"/>
      <c r="J87"/>
      <c r="K87"/>
    </row>
    <row r="88" spans="1:11">
      <c r="A88"/>
      <c r="B88"/>
      <c r="C88"/>
      <c r="D88"/>
      <c r="E88"/>
      <c r="F88"/>
      <c r="G88"/>
      <c r="H88"/>
      <c r="I88"/>
      <c r="J88"/>
      <c r="K88"/>
    </row>
    <row r="89" spans="1:11">
      <c r="A89"/>
      <c r="B89"/>
      <c r="C89"/>
      <c r="D89"/>
      <c r="E89"/>
      <c r="F89"/>
      <c r="G89"/>
      <c r="H89"/>
      <c r="I89"/>
      <c r="J89"/>
      <c r="K89"/>
    </row>
    <row r="90" spans="1:11">
      <c r="A90"/>
      <c r="B90"/>
      <c r="C90"/>
      <c r="D90"/>
      <c r="E90"/>
      <c r="F90"/>
      <c r="G90"/>
      <c r="H90"/>
      <c r="I90"/>
      <c r="J90"/>
      <c r="K90"/>
    </row>
  </sheetData>
  <sheetProtection password="C640" sheet="1" objects="1" scenarios="1"/>
  <mergeCells count="2">
    <mergeCell ref="E2:H2"/>
    <mergeCell ref="B2:D2"/>
  </mergeCells>
  <phoneticPr fontId="15"/>
  <pageMargins left="0.25" right="0.25" top="0.5" bottom="0.5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abSelected="1" zoomScaleSheetLayoutView="100" workbookViewId="0">
      <selection activeCell="G3" sqref="G3"/>
    </sheetView>
  </sheetViews>
  <sheetFormatPr baseColWidth="10" defaultRowHeight="13" x14ac:dyDescent="0"/>
  <cols>
    <col min="1" max="1" width="4.5" style="52" customWidth="1"/>
    <col min="2" max="2" width="10.83203125" style="52"/>
    <col min="3" max="3" width="11.5" style="52" customWidth="1"/>
    <col min="4" max="4" width="10.83203125" style="52"/>
    <col min="5" max="5" width="5.83203125" style="52" customWidth="1"/>
    <col min="6" max="6" width="9.6640625" style="83" customWidth="1"/>
    <col min="7" max="7" width="38.33203125" style="52" customWidth="1"/>
    <col min="8" max="16384" width="10.83203125" style="52"/>
  </cols>
  <sheetData>
    <row r="1" spans="1:9" ht="28">
      <c r="A1" s="114" t="s">
        <v>156</v>
      </c>
    </row>
    <row r="2" spans="1:9" s="59" customFormat="1">
      <c r="A2" s="58" t="s">
        <v>143</v>
      </c>
      <c r="C2" s="297" t="str">
        <f>INFORMATION!B3</f>
        <v xml:space="preserve"> </v>
      </c>
      <c r="D2" s="298"/>
      <c r="G2" s="121" t="s">
        <v>429</v>
      </c>
    </row>
    <row r="3" spans="1:9" s="59" customFormat="1">
      <c r="A3" s="296" t="s">
        <v>273</v>
      </c>
      <c r="B3" s="255"/>
      <c r="C3" s="256"/>
      <c r="D3" s="166"/>
    </row>
    <row r="4" spans="1:9" s="115" customFormat="1">
      <c r="A4" s="56" t="s">
        <v>128</v>
      </c>
      <c r="C4" s="52"/>
      <c r="D4" s="52"/>
      <c r="F4" s="116" t="s">
        <v>187</v>
      </c>
      <c r="H4" s="52"/>
      <c r="I4" s="52"/>
    </row>
    <row r="5" spans="1:9" s="115" customFormat="1">
      <c r="F5" s="117" t="s">
        <v>296</v>
      </c>
      <c r="G5" s="118" t="s">
        <v>295</v>
      </c>
      <c r="H5" s="52"/>
      <c r="I5" s="52"/>
    </row>
    <row r="6" spans="1:9" s="115" customFormat="1">
      <c r="A6" s="56" t="s">
        <v>44</v>
      </c>
      <c r="F6" s="93">
        <f>INFORMATION!G32/INFORMATION!C28</f>
        <v>0</v>
      </c>
      <c r="G6" s="53" t="s">
        <v>263</v>
      </c>
      <c r="H6" s="52"/>
      <c r="I6" s="52"/>
    </row>
    <row r="7" spans="1:9" s="115" customFormat="1">
      <c r="A7" s="56" t="s">
        <v>172</v>
      </c>
      <c r="F7" s="93" t="e">
        <f>INFORMATION!G41+INFORMATION!G28</f>
        <v>#VALUE!</v>
      </c>
      <c r="G7" s="53" t="s">
        <v>264</v>
      </c>
      <c r="H7" s="52"/>
      <c r="I7" s="52"/>
    </row>
    <row r="8" spans="1:9" s="115" customFormat="1">
      <c r="A8" s="56" t="s">
        <v>173</v>
      </c>
      <c r="E8" s="115" t="s">
        <v>262</v>
      </c>
      <c r="F8" s="93">
        <f>SUM(F9:F10)</f>
        <v>38</v>
      </c>
      <c r="G8" s="53" t="s">
        <v>346</v>
      </c>
      <c r="H8" s="52"/>
      <c r="I8" s="52"/>
    </row>
    <row r="9" spans="1:9" s="115" customFormat="1">
      <c r="A9" s="56"/>
      <c r="B9" s="115" t="s">
        <v>131</v>
      </c>
      <c r="F9" s="93">
        <f>'HOUSE-TRANSPORT'!G28</f>
        <v>38</v>
      </c>
      <c r="G9" s="53"/>
      <c r="H9" s="52"/>
      <c r="I9" s="52"/>
    </row>
    <row r="10" spans="1:9" s="115" customFormat="1">
      <c r="A10" s="56"/>
      <c r="B10" s="115" t="s">
        <v>309</v>
      </c>
      <c r="F10" s="93">
        <f>BUDGET!D11</f>
        <v>0</v>
      </c>
      <c r="G10" s="53"/>
      <c r="H10" s="52"/>
      <c r="I10" s="52"/>
    </row>
    <row r="11" spans="1:9" s="115" customFormat="1">
      <c r="A11" s="56" t="s">
        <v>174</v>
      </c>
      <c r="E11" s="115" t="s">
        <v>262</v>
      </c>
      <c r="F11" s="93">
        <f>SUM(F12:F13)</f>
        <v>18</v>
      </c>
      <c r="G11" s="53" t="s">
        <v>342</v>
      </c>
      <c r="H11" s="52"/>
      <c r="I11" s="52"/>
    </row>
    <row r="12" spans="1:9" s="115" customFormat="1">
      <c r="A12" s="56"/>
      <c r="B12" s="115" t="s">
        <v>257</v>
      </c>
      <c r="F12" s="93">
        <f>'HOUSE-TRANSPORT'!F28</f>
        <v>18</v>
      </c>
      <c r="G12" s="53"/>
      <c r="H12" s="52"/>
      <c r="I12" s="52"/>
    </row>
    <row r="13" spans="1:9" s="115" customFormat="1">
      <c r="A13" s="56"/>
      <c r="B13" s="115" t="s">
        <v>309</v>
      </c>
      <c r="F13" s="93">
        <f>BUDGET!D13</f>
        <v>0</v>
      </c>
      <c r="G13" s="53"/>
      <c r="H13" s="52"/>
      <c r="I13" s="52"/>
    </row>
    <row r="14" spans="1:9" s="115" customFormat="1">
      <c r="A14" s="56" t="s">
        <v>175</v>
      </c>
      <c r="E14" s="115" t="s">
        <v>262</v>
      </c>
      <c r="F14" s="93">
        <f>SUM(F15:F16)</f>
        <v>32</v>
      </c>
      <c r="G14" s="53" t="s">
        <v>343</v>
      </c>
      <c r="H14" s="52"/>
      <c r="I14" s="52"/>
    </row>
    <row r="15" spans="1:9" s="115" customFormat="1">
      <c r="A15" s="56"/>
      <c r="B15" s="115" t="s">
        <v>125</v>
      </c>
      <c r="F15" s="93">
        <f>'HOUSE-TRANSPORT'!E28</f>
        <v>32</v>
      </c>
      <c r="G15" s="53"/>
      <c r="H15" s="52"/>
      <c r="I15" s="52"/>
    </row>
    <row r="16" spans="1:9" s="115" customFormat="1">
      <c r="A16" s="56"/>
      <c r="B16" s="115" t="s">
        <v>309</v>
      </c>
      <c r="F16" s="93">
        <f>BUDGET!D15</f>
        <v>0</v>
      </c>
      <c r="G16" s="53"/>
      <c r="H16" s="52"/>
      <c r="I16" s="52"/>
    </row>
    <row r="17" spans="1:9" s="115" customFormat="1">
      <c r="A17" s="56" t="s">
        <v>176</v>
      </c>
      <c r="E17" s="115" t="s">
        <v>262</v>
      </c>
      <c r="F17" s="93">
        <f>F18+F19</f>
        <v>40</v>
      </c>
      <c r="G17" s="53" t="s">
        <v>68</v>
      </c>
      <c r="H17" s="52" t="s">
        <v>170</v>
      </c>
      <c r="I17" s="52"/>
    </row>
    <row r="18" spans="1:9" s="115" customFormat="1">
      <c r="A18" s="56"/>
      <c r="B18" s="115" t="s">
        <v>331</v>
      </c>
      <c r="F18" s="93">
        <v>40</v>
      </c>
      <c r="G18" s="119" t="s">
        <v>344</v>
      </c>
      <c r="H18" s="52"/>
      <c r="I18" s="52"/>
    </row>
    <row r="19" spans="1:9" s="115" customFormat="1">
      <c r="A19" s="56"/>
      <c r="B19" s="115" t="s">
        <v>126</v>
      </c>
      <c r="F19" s="93">
        <f>IF(INFORMATION!A21&gt;0,'MONTHLY LIVING'!F18,0)</f>
        <v>0</v>
      </c>
      <c r="G19" s="53"/>
      <c r="H19" s="52"/>
      <c r="I19" s="52"/>
    </row>
    <row r="20" spans="1:9" s="115" customFormat="1">
      <c r="A20" s="56" t="s">
        <v>177</v>
      </c>
      <c r="E20" s="115" t="s">
        <v>262</v>
      </c>
      <c r="F20" s="93">
        <f>F23+F22+F21</f>
        <v>50</v>
      </c>
      <c r="G20" s="53" t="s">
        <v>233</v>
      </c>
      <c r="H20" s="52"/>
      <c r="I20" s="52"/>
    </row>
    <row r="21" spans="1:9" s="115" customFormat="1">
      <c r="A21" s="56"/>
      <c r="B21" s="115" t="s">
        <v>330</v>
      </c>
      <c r="F21" s="47">
        <v>0</v>
      </c>
      <c r="G21" s="119" t="s">
        <v>265</v>
      </c>
      <c r="H21" s="52"/>
      <c r="I21" s="52"/>
    </row>
    <row r="22" spans="1:9" s="115" customFormat="1">
      <c r="A22" s="56"/>
      <c r="B22" s="115" t="s">
        <v>137</v>
      </c>
      <c r="F22" s="47">
        <v>0</v>
      </c>
      <c r="G22" s="207"/>
      <c r="H22" s="52"/>
      <c r="I22" s="52"/>
    </row>
    <row r="23" spans="1:9" s="115" customFormat="1">
      <c r="A23" s="56"/>
      <c r="B23" s="115" t="s">
        <v>272</v>
      </c>
      <c r="F23" s="93">
        <f>50/INFORMATION!C28</f>
        <v>50</v>
      </c>
      <c r="G23" s="207"/>
      <c r="H23" s="52"/>
      <c r="I23" s="52"/>
    </row>
    <row r="24" spans="1:9" s="115" customFormat="1">
      <c r="A24" s="56" t="s">
        <v>7</v>
      </c>
      <c r="E24" s="52" t="s">
        <v>262</v>
      </c>
      <c r="F24" s="93">
        <f>'HOUSE-TRANSPORT'!G22</f>
        <v>50</v>
      </c>
      <c r="G24" s="53" t="s">
        <v>345</v>
      </c>
      <c r="H24" s="52"/>
      <c r="I24" s="52"/>
    </row>
    <row r="25" spans="1:9" s="115" customFormat="1">
      <c r="A25" s="56" t="s">
        <v>49</v>
      </c>
      <c r="F25" s="93">
        <f>INFORMATION!G42+F26</f>
        <v>50</v>
      </c>
      <c r="G25" s="53" t="s">
        <v>0</v>
      </c>
      <c r="H25" s="52"/>
      <c r="I25" s="52"/>
    </row>
    <row r="26" spans="1:9" s="115" customFormat="1">
      <c r="A26" s="56"/>
      <c r="B26" s="245" t="s">
        <v>417</v>
      </c>
      <c r="D26" s="93">
        <f>'HOUSE-TRANSPORT'!C53</f>
        <v>33.75</v>
      </c>
      <c r="F26" s="47">
        <v>0</v>
      </c>
      <c r="G26" s="246" t="s">
        <v>421</v>
      </c>
      <c r="H26" s="52"/>
      <c r="I26" s="52"/>
    </row>
    <row r="27" spans="1:9" s="115" customFormat="1">
      <c r="A27" s="56" t="s">
        <v>48</v>
      </c>
      <c r="F27" s="93">
        <f>'HOUSE-TRANSPORT'!C45+F28</f>
        <v>0</v>
      </c>
      <c r="G27" s="53" t="s">
        <v>263</v>
      </c>
      <c r="H27" s="52"/>
      <c r="I27" s="52"/>
    </row>
    <row r="28" spans="1:9" s="115" customFormat="1">
      <c r="A28" s="56"/>
      <c r="B28" s="115" t="s">
        <v>160</v>
      </c>
      <c r="F28" s="47">
        <v>0</v>
      </c>
      <c r="G28" s="53" t="s">
        <v>263</v>
      </c>
      <c r="H28" s="52"/>
      <c r="I28" s="52"/>
    </row>
    <row r="29" spans="1:9" s="115" customFormat="1">
      <c r="A29" s="56" t="s">
        <v>180</v>
      </c>
      <c r="E29" s="115" t="s">
        <v>262</v>
      </c>
      <c r="F29" s="93">
        <f>SUM(F30:F36)</f>
        <v>225</v>
      </c>
      <c r="G29" s="54" t="s">
        <v>68</v>
      </c>
    </row>
    <row r="30" spans="1:9" s="115" customFormat="1">
      <c r="A30" s="56"/>
      <c r="B30" s="115" t="s">
        <v>332</v>
      </c>
      <c r="F30" s="47">
        <v>0</v>
      </c>
      <c r="G30" s="48"/>
    </row>
    <row r="31" spans="1:9" s="115" customFormat="1">
      <c r="A31" s="56"/>
      <c r="B31" s="115" t="s">
        <v>333</v>
      </c>
      <c r="F31" s="47">
        <v>0</v>
      </c>
      <c r="G31" s="48"/>
    </row>
    <row r="32" spans="1:9" s="115" customFormat="1">
      <c r="A32" s="56"/>
      <c r="B32" s="245" t="s">
        <v>422</v>
      </c>
      <c r="F32" s="93">
        <f>DEPENDENTS!H35</f>
        <v>25</v>
      </c>
      <c r="G32" s="48"/>
    </row>
    <row r="33" spans="1:7" s="115" customFormat="1">
      <c r="A33" s="56"/>
      <c r="B33" s="115" t="s">
        <v>70</v>
      </c>
      <c r="F33" s="93">
        <f>'HOUSE-TRANSPORT'!B28</f>
        <v>200</v>
      </c>
      <c r="G33" s="48"/>
    </row>
    <row r="34" spans="1:7" s="115" customFormat="1">
      <c r="A34" s="56"/>
      <c r="B34" s="115" t="s">
        <v>127</v>
      </c>
      <c r="F34" s="93">
        <f>BUDGET!D25</f>
        <v>0</v>
      </c>
      <c r="G34" s="49"/>
    </row>
    <row r="35" spans="1:7" s="115" customFormat="1">
      <c r="A35" s="56"/>
      <c r="B35" s="115" t="s">
        <v>39</v>
      </c>
      <c r="C35" s="294"/>
      <c r="D35" s="295"/>
      <c r="F35" s="47">
        <v>0</v>
      </c>
      <c r="G35" s="49"/>
    </row>
    <row r="36" spans="1:7" s="115" customFormat="1">
      <c r="A36" s="56"/>
      <c r="B36" s="115" t="s">
        <v>39</v>
      </c>
      <c r="C36" s="294"/>
      <c r="D36" s="295"/>
      <c r="F36" s="47">
        <v>0</v>
      </c>
      <c r="G36" s="49"/>
    </row>
    <row r="37" spans="1:7" s="115" customFormat="1">
      <c r="A37" s="56" t="s">
        <v>4</v>
      </c>
      <c r="E37" s="115" t="s">
        <v>262</v>
      </c>
      <c r="F37" s="120" t="e">
        <f>SUM(F38:F39)</f>
        <v>#VALUE!</v>
      </c>
      <c r="G37" s="54" t="s">
        <v>1</v>
      </c>
    </row>
    <row r="38" spans="1:7" s="115" customFormat="1">
      <c r="A38" s="56"/>
      <c r="B38" s="115" t="s">
        <v>243</v>
      </c>
      <c r="F38" s="47">
        <v>0</v>
      </c>
      <c r="G38" s="48"/>
    </row>
    <row r="39" spans="1:7" s="115" customFormat="1">
      <c r="A39" s="56"/>
      <c r="B39" s="115" t="s">
        <v>3</v>
      </c>
      <c r="F39" s="93" t="e">
        <f>INFORMATION!G41</f>
        <v>#VALUE!</v>
      </c>
      <c r="G39" s="233"/>
    </row>
    <row r="40" spans="1:7" s="115" customFormat="1">
      <c r="A40" s="56"/>
      <c r="B40" s="115" t="s">
        <v>127</v>
      </c>
      <c r="F40" s="93">
        <f>BUDGET!D27</f>
        <v>0</v>
      </c>
      <c r="G40" s="233"/>
    </row>
    <row r="41" spans="1:7" s="115" customFormat="1">
      <c r="A41" s="56" t="s">
        <v>260</v>
      </c>
      <c r="E41" s="115" t="s">
        <v>262</v>
      </c>
      <c r="F41" s="93">
        <f>F42+F43</f>
        <v>20</v>
      </c>
      <c r="G41" s="53" t="s">
        <v>264</v>
      </c>
    </row>
    <row r="42" spans="1:7" s="115" customFormat="1">
      <c r="A42" s="56"/>
      <c r="B42" s="115" t="s">
        <v>129</v>
      </c>
      <c r="F42" s="93">
        <f>'HOUSE-TRANSPORT'!C28</f>
        <v>20</v>
      </c>
      <c r="G42" s="53"/>
    </row>
    <row r="43" spans="1:7" s="115" customFormat="1">
      <c r="A43" s="56"/>
      <c r="B43" s="115" t="s">
        <v>127</v>
      </c>
      <c r="F43" s="93">
        <f>BUDGET!D29</f>
        <v>0</v>
      </c>
      <c r="G43" s="53"/>
    </row>
    <row r="44" spans="1:7" s="115" customFormat="1">
      <c r="A44" s="56" t="s">
        <v>67</v>
      </c>
      <c r="E44" s="115" t="s">
        <v>262</v>
      </c>
      <c r="F44" s="93">
        <f>F45+F46</f>
        <v>0</v>
      </c>
      <c r="G44" s="53" t="s">
        <v>0</v>
      </c>
    </row>
    <row r="45" spans="1:7" s="115" customFormat="1">
      <c r="A45" s="56"/>
      <c r="B45" s="115" t="s">
        <v>130</v>
      </c>
      <c r="F45" s="93">
        <f>INFORMATION!G47</f>
        <v>0</v>
      </c>
      <c r="G45" s="53" t="s">
        <v>340</v>
      </c>
    </row>
    <row r="46" spans="1:7" s="115" customFormat="1">
      <c r="A46" s="56"/>
      <c r="B46" s="115" t="s">
        <v>127</v>
      </c>
      <c r="F46" s="93">
        <f>INFORMATION!G52</f>
        <v>0</v>
      </c>
      <c r="G46" s="53" t="s">
        <v>340</v>
      </c>
    </row>
    <row r="47" spans="1:7">
      <c r="F47" s="52"/>
    </row>
    <row r="48" spans="1:7" s="122" customFormat="1" ht="18">
      <c r="A48" s="122" t="s">
        <v>120</v>
      </c>
    </row>
    <row r="49" spans="1:7" s="115" customFormat="1">
      <c r="A49" s="56" t="s">
        <v>322</v>
      </c>
      <c r="E49" s="115" t="s">
        <v>262</v>
      </c>
      <c r="F49" s="93">
        <f>SUM(F50:F57)</f>
        <v>0</v>
      </c>
      <c r="G49" s="53" t="s">
        <v>264</v>
      </c>
    </row>
    <row r="50" spans="1:7" s="115" customFormat="1">
      <c r="A50" s="56"/>
      <c r="B50" s="115" t="s">
        <v>297</v>
      </c>
      <c r="F50" s="47">
        <v>0</v>
      </c>
      <c r="G50" s="48"/>
    </row>
    <row r="51" spans="1:7" s="115" customFormat="1">
      <c r="A51" s="55"/>
      <c r="B51" s="115" t="s">
        <v>157</v>
      </c>
      <c r="F51" s="47">
        <v>0</v>
      </c>
      <c r="G51" s="48"/>
    </row>
    <row r="52" spans="1:7" s="115" customFormat="1">
      <c r="A52" s="55"/>
      <c r="B52" s="115" t="s">
        <v>36</v>
      </c>
      <c r="F52" s="47">
        <v>0</v>
      </c>
      <c r="G52" s="48"/>
    </row>
    <row r="53" spans="1:7" s="115" customFormat="1">
      <c r="A53" s="55"/>
      <c r="B53" s="115" t="s">
        <v>37</v>
      </c>
      <c r="F53" s="47">
        <v>0</v>
      </c>
      <c r="G53" s="48"/>
    </row>
    <row r="54" spans="1:7" s="115" customFormat="1">
      <c r="A54" s="55"/>
      <c r="B54" s="115" t="s">
        <v>38</v>
      </c>
      <c r="F54" s="47">
        <v>0</v>
      </c>
      <c r="G54" s="48"/>
    </row>
    <row r="55" spans="1:7" s="115" customFormat="1">
      <c r="A55" s="55"/>
      <c r="B55" s="115" t="s">
        <v>10</v>
      </c>
      <c r="F55" s="47">
        <v>0</v>
      </c>
      <c r="G55" s="48"/>
    </row>
    <row r="56" spans="1:7" s="115" customFormat="1">
      <c r="A56" s="55"/>
      <c r="B56" s="115" t="s">
        <v>39</v>
      </c>
      <c r="C56" s="294"/>
      <c r="D56" s="295"/>
      <c r="F56" s="47">
        <v>0</v>
      </c>
      <c r="G56" s="48"/>
    </row>
    <row r="57" spans="1:7" s="115" customFormat="1">
      <c r="A57" s="55"/>
      <c r="B57" s="115" t="s">
        <v>39</v>
      </c>
      <c r="C57" s="294"/>
      <c r="D57" s="295"/>
      <c r="F57" s="47">
        <v>0</v>
      </c>
      <c r="G57" s="48"/>
    </row>
    <row r="58" spans="1:7" s="115" customFormat="1">
      <c r="A58" s="56" t="s">
        <v>71</v>
      </c>
      <c r="E58" s="115" t="s">
        <v>262</v>
      </c>
      <c r="F58" s="93">
        <f>SUM(F59:F67)</f>
        <v>0</v>
      </c>
      <c r="G58" s="53" t="s">
        <v>264</v>
      </c>
    </row>
    <row r="59" spans="1:7" s="115" customFormat="1">
      <c r="A59" s="56"/>
      <c r="B59" s="115" t="s">
        <v>122</v>
      </c>
      <c r="F59" s="47">
        <v>0</v>
      </c>
      <c r="G59" s="48"/>
    </row>
    <row r="60" spans="1:7" s="115" customFormat="1">
      <c r="A60" s="56"/>
      <c r="B60" s="115" t="s">
        <v>123</v>
      </c>
      <c r="F60" s="47">
        <v>0</v>
      </c>
      <c r="G60" s="48"/>
    </row>
    <row r="61" spans="1:7" s="115" customFormat="1">
      <c r="A61" s="56"/>
      <c r="B61" s="115" t="s">
        <v>6</v>
      </c>
      <c r="F61" s="47">
        <v>0</v>
      </c>
      <c r="G61" s="48"/>
    </row>
    <row r="62" spans="1:7" s="115" customFormat="1">
      <c r="A62" s="56"/>
      <c r="B62" s="115" t="s">
        <v>124</v>
      </c>
      <c r="F62" s="47">
        <v>0</v>
      </c>
      <c r="G62" s="48"/>
    </row>
    <row r="63" spans="1:7" s="115" customFormat="1">
      <c r="A63" s="56"/>
      <c r="B63" s="115" t="s">
        <v>121</v>
      </c>
      <c r="F63" s="47">
        <v>0</v>
      </c>
      <c r="G63" s="48"/>
    </row>
    <row r="64" spans="1:7" s="115" customFormat="1">
      <c r="A64" s="56"/>
      <c r="B64" s="115" t="s">
        <v>300</v>
      </c>
      <c r="F64" s="47">
        <v>0</v>
      </c>
      <c r="G64" s="48"/>
    </row>
    <row r="65" spans="1:8" s="115" customFormat="1">
      <c r="A65" s="55"/>
      <c r="B65" s="115" t="s">
        <v>153</v>
      </c>
      <c r="C65" s="301" t="s">
        <v>351</v>
      </c>
      <c r="D65" s="302"/>
      <c r="E65" s="165"/>
      <c r="F65" s="93">
        <f>INFORMATION!G12/6</f>
        <v>0</v>
      </c>
      <c r="G65" s="48"/>
    </row>
    <row r="66" spans="1:8">
      <c r="B66" s="115" t="s">
        <v>39</v>
      </c>
      <c r="C66" s="303"/>
      <c r="D66" s="304"/>
      <c r="E66" s="115"/>
      <c r="F66" s="47">
        <v>0</v>
      </c>
      <c r="G66" s="48"/>
    </row>
    <row r="67" spans="1:8">
      <c r="B67" s="115" t="s">
        <v>39</v>
      </c>
      <c r="C67" s="294"/>
      <c r="D67" s="295"/>
      <c r="E67" s="115"/>
      <c r="F67" s="47">
        <v>0</v>
      </c>
      <c r="G67" s="48"/>
    </row>
    <row r="68" spans="1:8">
      <c r="C68"/>
      <c r="D68"/>
      <c r="F68" s="52"/>
    </row>
    <row r="69" spans="1:8">
      <c r="G69" s="118" t="s">
        <v>295</v>
      </c>
    </row>
    <row r="70" spans="1:8" s="115" customFormat="1">
      <c r="A70" s="56" t="s">
        <v>33</v>
      </c>
      <c r="E70" s="115" t="s">
        <v>262</v>
      </c>
      <c r="F70" s="93">
        <f>SUM(F71:F76)</f>
        <v>0</v>
      </c>
      <c r="G70" s="53" t="s">
        <v>263</v>
      </c>
    </row>
    <row r="71" spans="1:8" s="115" customFormat="1">
      <c r="A71" s="55"/>
      <c r="B71" s="115" t="s">
        <v>301</v>
      </c>
      <c r="F71" s="47">
        <v>0</v>
      </c>
      <c r="G71" s="48"/>
    </row>
    <row r="72" spans="1:8" s="115" customFormat="1">
      <c r="A72" s="55"/>
      <c r="B72" s="115" t="s">
        <v>302</v>
      </c>
      <c r="F72" s="47">
        <v>0</v>
      </c>
      <c r="G72" s="48"/>
    </row>
    <row r="73" spans="1:8" s="115" customFormat="1">
      <c r="A73" s="55"/>
      <c r="B73" s="115" t="s">
        <v>303</v>
      </c>
      <c r="F73" s="47">
        <v>0</v>
      </c>
      <c r="G73" s="48"/>
    </row>
    <row r="74" spans="1:8" s="115" customFormat="1">
      <c r="A74" s="55"/>
      <c r="B74" s="115" t="s">
        <v>8</v>
      </c>
      <c r="F74" s="47">
        <v>0</v>
      </c>
      <c r="G74" s="48"/>
    </row>
    <row r="75" spans="1:8" s="115" customFormat="1">
      <c r="A75" s="55"/>
      <c r="B75" s="115" t="s">
        <v>9</v>
      </c>
      <c r="F75" s="47">
        <v>0</v>
      </c>
      <c r="G75" s="53" t="s">
        <v>2</v>
      </c>
    </row>
    <row r="76" spans="1:8" s="115" customFormat="1">
      <c r="A76" s="55"/>
      <c r="B76" s="115" t="s">
        <v>39</v>
      </c>
      <c r="F76" s="47">
        <v>0</v>
      </c>
      <c r="G76" s="48"/>
      <c r="H76" s="115" t="s">
        <v>170</v>
      </c>
    </row>
    <row r="77" spans="1:8" s="115" customFormat="1">
      <c r="A77" s="56" t="s">
        <v>34</v>
      </c>
      <c r="E77" s="115" t="s">
        <v>262</v>
      </c>
      <c r="F77" s="93">
        <f>SUM(F78:F81)</f>
        <v>0</v>
      </c>
      <c r="G77" s="53" t="s">
        <v>263</v>
      </c>
    </row>
    <row r="78" spans="1:8" s="115" customFormat="1">
      <c r="A78" s="55"/>
      <c r="B78" s="115" t="s">
        <v>397</v>
      </c>
      <c r="F78" s="47">
        <v>0</v>
      </c>
      <c r="G78" s="48"/>
    </row>
    <row r="79" spans="1:8" s="115" customFormat="1">
      <c r="A79" s="55"/>
      <c r="B79" s="115" t="s">
        <v>398</v>
      </c>
      <c r="F79" s="47">
        <v>0</v>
      </c>
      <c r="G79" s="48"/>
    </row>
    <row r="80" spans="1:8" s="115" customFormat="1">
      <c r="A80" s="55"/>
      <c r="B80" s="115" t="s">
        <v>399</v>
      </c>
      <c r="F80" s="47">
        <v>0</v>
      </c>
      <c r="G80" s="48"/>
    </row>
    <row r="81" spans="1:7" s="115" customFormat="1">
      <c r="A81" s="55"/>
      <c r="B81" s="115" t="s">
        <v>39</v>
      </c>
      <c r="F81" s="47">
        <v>0</v>
      </c>
      <c r="G81" s="48"/>
    </row>
    <row r="82" spans="1:7" s="115" customFormat="1">
      <c r="A82" s="56" t="s">
        <v>41</v>
      </c>
      <c r="E82" s="115" t="s">
        <v>262</v>
      </c>
      <c r="F82" s="93">
        <f>SUM(F83:F97)</f>
        <v>25</v>
      </c>
      <c r="G82" s="53" t="s">
        <v>263</v>
      </c>
    </row>
    <row r="83" spans="1:7" s="115" customFormat="1">
      <c r="B83" s="115" t="s">
        <v>400</v>
      </c>
      <c r="F83" s="47">
        <v>0</v>
      </c>
      <c r="G83" s="48"/>
    </row>
    <row r="84" spans="1:7" s="115" customFormat="1">
      <c r="B84" s="115" t="s">
        <v>401</v>
      </c>
      <c r="F84" s="47">
        <v>0</v>
      </c>
      <c r="G84" s="48"/>
    </row>
    <row r="85" spans="1:7">
      <c r="B85" s="52" t="s">
        <v>402</v>
      </c>
      <c r="F85" s="16">
        <v>0</v>
      </c>
      <c r="G85" s="48"/>
    </row>
    <row r="86" spans="1:7">
      <c r="B86" s="52" t="s">
        <v>403</v>
      </c>
      <c r="F86" s="16">
        <v>0</v>
      </c>
      <c r="G86" s="48"/>
    </row>
    <row r="87" spans="1:7">
      <c r="B87" s="52" t="s">
        <v>404</v>
      </c>
      <c r="F87" s="16">
        <v>0</v>
      </c>
      <c r="G87" s="48"/>
    </row>
    <row r="88" spans="1:7">
      <c r="B88" s="52" t="s">
        <v>292</v>
      </c>
      <c r="F88" s="16">
        <v>0</v>
      </c>
      <c r="G88" s="48"/>
    </row>
    <row r="89" spans="1:7">
      <c r="B89" s="52" t="s">
        <v>293</v>
      </c>
      <c r="F89" s="16">
        <v>0</v>
      </c>
      <c r="G89" s="48"/>
    </row>
    <row r="90" spans="1:7">
      <c r="B90" s="52" t="s">
        <v>221</v>
      </c>
      <c r="F90" s="15">
        <f>DEPENDENTS!H35</f>
        <v>25</v>
      </c>
      <c r="G90" s="48"/>
    </row>
    <row r="91" spans="1:7">
      <c r="B91" s="52" t="s">
        <v>294</v>
      </c>
      <c r="F91" s="16">
        <v>0</v>
      </c>
      <c r="G91" s="48"/>
    </row>
    <row r="92" spans="1:7">
      <c r="B92" s="52" t="s">
        <v>298</v>
      </c>
      <c r="F92" s="16">
        <v>0</v>
      </c>
      <c r="G92" s="48"/>
    </row>
    <row r="93" spans="1:7">
      <c r="B93" s="52" t="s">
        <v>323</v>
      </c>
      <c r="F93" s="16">
        <v>0</v>
      </c>
      <c r="G93" s="48"/>
    </row>
    <row r="94" spans="1:7">
      <c r="B94" s="52" t="s">
        <v>316</v>
      </c>
      <c r="F94" s="130">
        <f>INFORMATION!A23</f>
        <v>0</v>
      </c>
      <c r="G94" s="53" t="s">
        <v>263</v>
      </c>
    </row>
    <row r="95" spans="1:7">
      <c r="B95" s="52" t="s">
        <v>317</v>
      </c>
      <c r="F95" s="150">
        <f>INFORMATION!G13/24</f>
        <v>0</v>
      </c>
      <c r="G95" s="119" t="s">
        <v>69</v>
      </c>
    </row>
    <row r="96" spans="1:7">
      <c r="B96" s="52" t="s">
        <v>39</v>
      </c>
      <c r="C96" s="300"/>
      <c r="D96" s="295"/>
      <c r="F96" s="16">
        <v>0</v>
      </c>
      <c r="G96" s="48"/>
    </row>
    <row r="97" spans="1:8">
      <c r="B97" s="52" t="s">
        <v>39</v>
      </c>
      <c r="C97" s="300"/>
      <c r="D97" s="295"/>
      <c r="F97" s="16">
        <v>0</v>
      </c>
      <c r="G97" s="48"/>
    </row>
    <row r="99" spans="1:8">
      <c r="A99" s="56" t="s">
        <v>98</v>
      </c>
      <c r="B99" s="115"/>
      <c r="C99" s="115"/>
      <c r="D99" s="115"/>
      <c r="E99" s="115" t="s">
        <v>262</v>
      </c>
      <c r="F99" s="93">
        <f>SUM(F100:F103)</f>
        <v>0</v>
      </c>
      <c r="G99" s="53" t="s">
        <v>91</v>
      </c>
    </row>
    <row r="100" spans="1:8">
      <c r="A100" s="55"/>
      <c r="B100" s="115" t="s">
        <v>87</v>
      </c>
      <c r="C100" s="115"/>
      <c r="D100" s="115"/>
      <c r="E100" s="115"/>
      <c r="F100" s="47">
        <v>0</v>
      </c>
      <c r="G100" s="48"/>
    </row>
    <row r="101" spans="1:8">
      <c r="A101" s="55"/>
      <c r="B101" s="115" t="s">
        <v>88</v>
      </c>
      <c r="C101" s="115"/>
      <c r="D101" s="115"/>
      <c r="E101" s="115"/>
      <c r="F101" s="47">
        <v>0</v>
      </c>
      <c r="G101" s="48" t="s">
        <v>351</v>
      </c>
    </row>
    <row r="102" spans="1:8">
      <c r="A102" s="55"/>
      <c r="B102" s="115" t="s">
        <v>89</v>
      </c>
      <c r="C102" s="115"/>
      <c r="D102" s="115"/>
      <c r="E102" s="115"/>
      <c r="F102" s="47">
        <v>0</v>
      </c>
      <c r="G102" s="48" t="s">
        <v>97</v>
      </c>
    </row>
    <row r="103" spans="1:8">
      <c r="A103" s="55"/>
      <c r="B103" s="115" t="s">
        <v>90</v>
      </c>
      <c r="C103" s="115"/>
      <c r="D103" s="115"/>
      <c r="E103" s="115"/>
      <c r="F103" s="47">
        <v>0</v>
      </c>
      <c r="G103" s="48" t="s">
        <v>97</v>
      </c>
    </row>
    <row r="104" spans="1:8">
      <c r="F104" s="83" t="s">
        <v>92</v>
      </c>
    </row>
    <row r="106" spans="1:8">
      <c r="A106" s="56" t="s">
        <v>282</v>
      </c>
      <c r="B106" s="115"/>
      <c r="C106" s="115"/>
      <c r="D106" s="115"/>
      <c r="E106" s="115" t="s">
        <v>276</v>
      </c>
      <c r="F106" s="52"/>
    </row>
    <row r="107" spans="1:8">
      <c r="A107" s="55"/>
      <c r="B107" s="149"/>
      <c r="C107" s="299" t="s">
        <v>277</v>
      </c>
      <c r="D107" s="299"/>
      <c r="E107" s="299"/>
      <c r="F107" s="293" t="s">
        <v>91</v>
      </c>
      <c r="G107" s="266"/>
      <c r="H107" s="93" t="s">
        <v>97</v>
      </c>
    </row>
    <row r="108" spans="1:8">
      <c r="A108" s="55"/>
      <c r="B108" s="207" t="s">
        <v>278</v>
      </c>
      <c r="C108" s="305" t="s">
        <v>390</v>
      </c>
      <c r="D108" s="305"/>
      <c r="E108" s="305"/>
      <c r="F108" s="305" t="s">
        <v>391</v>
      </c>
      <c r="G108" s="257"/>
      <c r="H108" s="47">
        <v>3</v>
      </c>
    </row>
    <row r="109" spans="1:8">
      <c r="A109" s="55"/>
      <c r="B109" s="207" t="s">
        <v>279</v>
      </c>
      <c r="C109" s="305" t="s">
        <v>358</v>
      </c>
      <c r="D109" s="305"/>
      <c r="E109" s="305"/>
      <c r="F109" s="305" t="s">
        <v>359</v>
      </c>
      <c r="G109" s="257"/>
      <c r="H109" s="47">
        <v>0</v>
      </c>
    </row>
    <row r="110" spans="1:8">
      <c r="A110" s="55"/>
      <c r="B110" s="207" t="s">
        <v>280</v>
      </c>
      <c r="C110" s="305" t="s">
        <v>358</v>
      </c>
      <c r="D110" s="305"/>
      <c r="E110" s="305"/>
      <c r="F110" s="305" t="s">
        <v>359</v>
      </c>
      <c r="G110" s="257"/>
      <c r="H110" s="47">
        <v>0</v>
      </c>
    </row>
    <row r="111" spans="1:8">
      <c r="B111" s="207" t="s">
        <v>281</v>
      </c>
      <c r="C111" s="305" t="s">
        <v>351</v>
      </c>
      <c r="D111" s="305"/>
      <c r="E111" s="305"/>
      <c r="F111" s="305" t="s">
        <v>359</v>
      </c>
      <c r="G111" s="257"/>
      <c r="H111" s="47">
        <v>0</v>
      </c>
    </row>
  </sheetData>
  <sheetProtection password="C640" sheet="1" objects="1" scenarios="1"/>
  <customSheetViews>
    <customSheetView guid="{D8F4F400-1F22-11D7-BD75-C829030E573B}" showRuler="0" topLeftCell="A21">
      <selection activeCell="G58" sqref="G58:H58"/>
      <pageSetup paperSize="0" orientation="portrait" horizontalDpi="4294967292" verticalDpi="4294967292"/>
    </customSheetView>
  </customSheetViews>
  <mergeCells count="21">
    <mergeCell ref="F108:G108"/>
    <mergeCell ref="F109:G109"/>
    <mergeCell ref="F110:G110"/>
    <mergeCell ref="F111:G111"/>
    <mergeCell ref="C108:E108"/>
    <mergeCell ref="C109:E109"/>
    <mergeCell ref="C110:E110"/>
    <mergeCell ref="C111:E111"/>
    <mergeCell ref="F107:G107"/>
    <mergeCell ref="C67:D67"/>
    <mergeCell ref="A3:C3"/>
    <mergeCell ref="C2:D2"/>
    <mergeCell ref="C35:D35"/>
    <mergeCell ref="C36:D36"/>
    <mergeCell ref="C56:D56"/>
    <mergeCell ref="C57:D57"/>
    <mergeCell ref="C107:E107"/>
    <mergeCell ref="C96:D96"/>
    <mergeCell ref="C97:D97"/>
    <mergeCell ref="C65:D65"/>
    <mergeCell ref="C66:D66"/>
  </mergeCells>
  <phoneticPr fontId="25" type="noConversion"/>
  <pageMargins left="0.42" right="0.42" top="0.48" bottom="0.46" header="0.5" footer="0.5"/>
  <pageSetup orientation="portrait" horizontalDpi="4294967292" verticalDpi="4294967292"/>
  <rowBreaks count="1" manualBreakCount="1">
    <brk id="46" max="6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topLeftCell="A14" zoomScale="150" zoomScaleSheetLayoutView="100" workbookViewId="0">
      <selection activeCell="B2" sqref="B2:D2"/>
    </sheetView>
  </sheetViews>
  <sheetFormatPr baseColWidth="10" defaultRowHeight="13" x14ac:dyDescent="0"/>
  <cols>
    <col min="1" max="1" width="10.83203125" style="2"/>
    <col min="2" max="2" width="8.5" style="2" customWidth="1"/>
    <col min="3" max="3" width="9.5" style="2" customWidth="1"/>
    <col min="4" max="4" width="11.83203125" style="2" customWidth="1"/>
    <col min="5" max="5" width="9.6640625" style="8" customWidth="1"/>
    <col min="6" max="6" width="1.5" style="2" customWidth="1"/>
    <col min="7" max="7" width="5.5" style="4" customWidth="1"/>
    <col min="8" max="8" width="10.5" style="2" customWidth="1"/>
    <col min="9" max="9" width="2.33203125" style="3" customWidth="1"/>
    <col min="10" max="10" width="12.1640625" style="2" bestFit="1" customWidth="1"/>
    <col min="11" max="11" width="4.1640625" customWidth="1"/>
    <col min="12" max="12" width="2" customWidth="1"/>
    <col min="23" max="16384" width="10.83203125" style="2"/>
  </cols>
  <sheetData>
    <row r="1" spans="1:22" ht="28">
      <c r="A1" s="114" t="s">
        <v>60</v>
      </c>
      <c r="B1" s="55"/>
      <c r="C1" s="55"/>
      <c r="D1" s="55"/>
      <c r="E1" s="151"/>
      <c r="F1" s="306" t="s">
        <v>274</v>
      </c>
      <c r="G1" s="307"/>
      <c r="H1" s="307"/>
      <c r="I1" s="307"/>
      <c r="J1" s="307"/>
    </row>
    <row r="2" spans="1:22" s="18" customFormat="1">
      <c r="A2" s="58" t="s">
        <v>143</v>
      </c>
      <c r="B2" s="290" t="str">
        <f>INFORMATION!B3</f>
        <v xml:space="preserve"> </v>
      </c>
      <c r="C2" s="310"/>
      <c r="D2" s="298"/>
      <c r="E2" s="187"/>
      <c r="F2" s="346" t="s">
        <v>415</v>
      </c>
      <c r="G2" s="346"/>
      <c r="H2" s="346"/>
      <c r="I2" s="79"/>
      <c r="J2" s="19" t="e">
        <f>INFORMATION!F3*1000</f>
        <v>#VALUE!</v>
      </c>
      <c r="K2"/>
      <c r="L2"/>
      <c r="M2"/>
      <c r="N2"/>
      <c r="O2"/>
      <c r="P2" s="9"/>
      <c r="Q2" s="9"/>
      <c r="R2" s="9"/>
      <c r="S2" s="9"/>
      <c r="T2" s="9"/>
      <c r="U2" s="9"/>
      <c r="V2" s="9"/>
    </row>
    <row r="3" spans="1:22" s="18" customFormat="1">
      <c r="A3" s="58" t="s">
        <v>144</v>
      </c>
      <c r="B3" s="290" t="str">
        <f>INFORMATION!B5</f>
        <v xml:space="preserve"> </v>
      </c>
      <c r="C3" s="311"/>
      <c r="D3" s="312"/>
      <c r="E3" s="187"/>
      <c r="F3" s="346" t="s">
        <v>416</v>
      </c>
      <c r="G3" s="346"/>
      <c r="H3" s="346"/>
      <c r="I3" s="188"/>
      <c r="J3" s="22">
        <f>INFORMATION!B7</f>
        <v>0</v>
      </c>
      <c r="K3"/>
      <c r="L3"/>
      <c r="M3"/>
      <c r="N3"/>
      <c r="O3"/>
      <c r="P3" s="9"/>
      <c r="Q3" s="9"/>
      <c r="R3" s="9"/>
      <c r="S3" s="9"/>
      <c r="T3" s="9"/>
      <c r="U3" s="9"/>
      <c r="V3" s="9"/>
    </row>
    <row r="4" spans="1:22" s="18" customFormat="1">
      <c r="A4" s="58" t="s">
        <v>24</v>
      </c>
      <c r="B4" s="73"/>
      <c r="C4" s="73"/>
      <c r="D4" s="22">
        <f>INFORMATION!F7</f>
        <v>0</v>
      </c>
      <c r="E4" s="187"/>
      <c r="F4" s="347" t="s">
        <v>261</v>
      </c>
      <c r="G4" s="347"/>
      <c r="H4" s="347"/>
      <c r="I4" s="79"/>
      <c r="J4" s="19">
        <f>'MONTHLY LIVING'!D3</f>
        <v>0</v>
      </c>
      <c r="K4"/>
      <c r="L4"/>
      <c r="M4"/>
      <c r="N4"/>
      <c r="O4"/>
      <c r="P4" s="9"/>
      <c r="Q4" s="9"/>
      <c r="R4" s="9"/>
      <c r="S4" s="9"/>
      <c r="T4" s="9"/>
      <c r="U4" s="9"/>
      <c r="V4" s="9"/>
    </row>
    <row r="5" spans="1:22" s="18" customFormat="1">
      <c r="A5" s="58"/>
      <c r="B5" s="73"/>
      <c r="C5" s="73"/>
      <c r="D5" s="52"/>
      <c r="E5" s="52"/>
      <c r="F5" s="52"/>
      <c r="G5" s="52"/>
      <c r="H5" s="52"/>
      <c r="I5" s="52"/>
      <c r="J5" s="52"/>
      <c r="K5"/>
      <c r="L5"/>
      <c r="M5"/>
      <c r="N5"/>
      <c r="O5"/>
      <c r="P5" s="9"/>
      <c r="Q5" s="9"/>
      <c r="R5" s="9"/>
      <c r="S5" s="9"/>
      <c r="T5" s="9"/>
      <c r="U5" s="9"/>
      <c r="V5" s="9"/>
    </row>
    <row r="6" spans="1:22">
      <c r="A6" s="313" t="s">
        <v>189</v>
      </c>
      <c r="B6" s="307"/>
      <c r="C6" s="307"/>
      <c r="D6" s="307"/>
      <c r="E6" s="307"/>
      <c r="F6" s="55"/>
      <c r="G6" s="56"/>
      <c r="H6" s="55"/>
      <c r="I6" s="57"/>
      <c r="J6" s="55"/>
      <c r="P6" s="10"/>
      <c r="Q6" s="10"/>
      <c r="R6" s="10"/>
      <c r="S6" s="10"/>
      <c r="T6" s="10"/>
      <c r="U6" s="10"/>
      <c r="V6" s="10"/>
    </row>
    <row r="7" spans="1:22">
      <c r="A7" s="314"/>
      <c r="B7" s="314"/>
      <c r="C7" s="314"/>
      <c r="D7" s="314"/>
      <c r="E7" s="314"/>
      <c r="F7" s="55"/>
      <c r="G7" s="289" t="s">
        <v>389</v>
      </c>
      <c r="H7" s="289"/>
      <c r="I7" s="289"/>
      <c r="J7" s="289"/>
      <c r="P7" s="10"/>
      <c r="Q7" s="10"/>
      <c r="R7" s="10"/>
      <c r="S7" s="10"/>
      <c r="T7" s="10"/>
      <c r="U7" s="10"/>
      <c r="V7" s="10"/>
    </row>
    <row r="8" spans="1:22">
      <c r="A8" s="189"/>
      <c r="B8" s="152"/>
      <c r="C8" s="153" t="s">
        <v>287</v>
      </c>
      <c r="D8" s="152"/>
      <c r="E8" s="154"/>
      <c r="F8" s="55"/>
      <c r="G8" s="52"/>
      <c r="H8" s="52"/>
      <c r="I8" s="52"/>
      <c r="J8" s="52"/>
      <c r="P8" s="10"/>
      <c r="Q8" s="10"/>
      <c r="R8" s="10"/>
      <c r="S8" s="10"/>
      <c r="T8" s="10"/>
      <c r="U8" s="10"/>
      <c r="V8" s="10"/>
    </row>
    <row r="9" spans="1:22" ht="15">
      <c r="A9" s="55"/>
      <c r="B9" s="55"/>
      <c r="C9" s="55"/>
      <c r="D9" s="55"/>
      <c r="E9" s="155" t="s">
        <v>171</v>
      </c>
      <c r="F9" s="69"/>
      <c r="G9" s="70"/>
      <c r="H9" s="69"/>
      <c r="I9" s="190" t="s">
        <v>170</v>
      </c>
      <c r="J9" s="69"/>
    </row>
    <row r="10" spans="1:22" s="18" customFormat="1">
      <c r="A10" s="58" t="s">
        <v>13</v>
      </c>
      <c r="B10" s="73"/>
      <c r="C10" s="73"/>
      <c r="D10" s="73"/>
      <c r="E10" s="23">
        <f>INFORMATION!G29+INFORMATION!G32</f>
        <v>0</v>
      </c>
      <c r="F10" s="73"/>
      <c r="G10" s="308" t="s">
        <v>142</v>
      </c>
      <c r="H10" s="309"/>
      <c r="I10" s="160"/>
      <c r="J10" s="191">
        <f>E10*0.17</f>
        <v>0</v>
      </c>
      <c r="K10"/>
      <c r="L10"/>
      <c r="M10"/>
      <c r="N10"/>
      <c r="O10"/>
      <c r="P10" s="9"/>
      <c r="Q10" s="9"/>
      <c r="R10" s="9"/>
      <c r="S10" s="9"/>
      <c r="T10" s="9"/>
      <c r="U10" s="9"/>
      <c r="V10" s="9"/>
    </row>
    <row r="11" spans="1:22" s="18" customFormat="1">
      <c r="A11" s="58" t="s">
        <v>14</v>
      </c>
      <c r="B11" s="73"/>
      <c r="C11" s="73"/>
      <c r="D11" s="73"/>
      <c r="E11" s="23">
        <f>INFORMATION!G33+INFORMATION!G28</f>
        <v>0</v>
      </c>
      <c r="F11" s="73"/>
      <c r="G11" s="308" t="s">
        <v>142</v>
      </c>
      <c r="H11" s="309"/>
      <c r="I11" s="160"/>
      <c r="J11" s="191">
        <f t="shared" ref="J11:J23" si="0">E11*0.17</f>
        <v>0</v>
      </c>
      <c r="K11"/>
      <c r="L11"/>
      <c r="M11"/>
      <c r="N11"/>
      <c r="O11"/>
      <c r="P11" s="9"/>
      <c r="Q11" s="9"/>
      <c r="R11" s="9"/>
      <c r="S11" s="9"/>
      <c r="T11" s="9"/>
      <c r="U11" s="9"/>
      <c r="V11" s="9"/>
    </row>
    <row r="12" spans="1:22" s="18" customFormat="1">
      <c r="A12" s="58" t="s">
        <v>15</v>
      </c>
      <c r="B12" s="58"/>
      <c r="C12" s="58"/>
      <c r="D12" s="73"/>
      <c r="E12" s="23">
        <f>'MONTHLY LIVING'!F8</f>
        <v>38</v>
      </c>
      <c r="F12" s="73"/>
      <c r="G12" s="308" t="s">
        <v>142</v>
      </c>
      <c r="H12" s="309"/>
      <c r="I12" s="160"/>
      <c r="J12" s="191">
        <f t="shared" si="0"/>
        <v>6.4600000000000009</v>
      </c>
      <c r="K12"/>
      <c r="L12"/>
      <c r="M12"/>
      <c r="N12"/>
      <c r="O12"/>
      <c r="P12" s="9"/>
      <c r="Q12" s="9"/>
      <c r="R12" s="9"/>
      <c r="S12" s="9"/>
      <c r="T12" s="9"/>
      <c r="U12" s="9"/>
      <c r="V12" s="9"/>
    </row>
    <row r="13" spans="1:22" s="18" customFormat="1">
      <c r="A13" s="58" t="s">
        <v>16</v>
      </c>
      <c r="B13" s="58"/>
      <c r="C13" s="58"/>
      <c r="D13" s="73"/>
      <c r="E13" s="23">
        <f>'MONTHLY LIVING'!F11</f>
        <v>18</v>
      </c>
      <c r="F13" s="73"/>
      <c r="G13" s="308" t="s">
        <v>142</v>
      </c>
      <c r="H13" s="309"/>
      <c r="I13" s="160"/>
      <c r="J13" s="191">
        <f t="shared" si="0"/>
        <v>3.06</v>
      </c>
      <c r="K13"/>
      <c r="L13"/>
      <c r="M13"/>
      <c r="N13"/>
      <c r="O13"/>
      <c r="P13" s="9"/>
      <c r="Q13" s="9"/>
      <c r="R13" s="9"/>
      <c r="S13" s="9"/>
      <c r="T13" s="9"/>
      <c r="U13" s="9"/>
      <c r="V13" s="9"/>
    </row>
    <row r="14" spans="1:22" s="18" customFormat="1">
      <c r="A14" s="58" t="s">
        <v>107</v>
      </c>
      <c r="B14" s="58"/>
      <c r="C14" s="58"/>
      <c r="D14" s="73"/>
      <c r="E14" s="23">
        <f>'MONTHLY LIVING'!F14</f>
        <v>32</v>
      </c>
      <c r="F14" s="73"/>
      <c r="G14" s="308" t="s">
        <v>142</v>
      </c>
      <c r="H14" s="309"/>
      <c r="I14" s="160"/>
      <c r="J14" s="191">
        <f t="shared" si="0"/>
        <v>5.44</v>
      </c>
      <c r="K14"/>
      <c r="L14"/>
      <c r="M14"/>
      <c r="N14"/>
      <c r="O14"/>
      <c r="P14" s="9"/>
      <c r="Q14" s="9"/>
      <c r="R14" s="9"/>
      <c r="S14" s="9"/>
      <c r="T14" s="9"/>
      <c r="U14" s="9"/>
      <c r="V14" s="9"/>
    </row>
    <row r="15" spans="1:22" s="18" customFormat="1">
      <c r="A15" s="58" t="s">
        <v>108</v>
      </c>
      <c r="B15" s="58"/>
      <c r="C15" s="58"/>
      <c r="D15" s="73"/>
      <c r="E15" s="23">
        <f>'MONTHLY LIVING'!F17</f>
        <v>40</v>
      </c>
      <c r="F15" s="73"/>
      <c r="G15" s="308" t="s">
        <v>142</v>
      </c>
      <c r="H15" s="309"/>
      <c r="I15" s="160"/>
      <c r="J15" s="191">
        <f t="shared" si="0"/>
        <v>6.8000000000000007</v>
      </c>
      <c r="K15"/>
      <c r="L15"/>
      <c r="M15"/>
      <c r="N15"/>
      <c r="O15"/>
      <c r="P15" s="9"/>
      <c r="Q15" s="9"/>
      <c r="R15" s="9"/>
      <c r="S15" s="9"/>
      <c r="T15" s="9"/>
      <c r="U15" s="9"/>
      <c r="V15" s="9"/>
    </row>
    <row r="16" spans="1:22" s="18" customFormat="1">
      <c r="A16" s="58" t="s">
        <v>109</v>
      </c>
      <c r="B16" s="58"/>
      <c r="C16" s="58"/>
      <c r="D16" s="73"/>
      <c r="E16" s="23">
        <f>'MONTHLY LIVING'!F20</f>
        <v>50</v>
      </c>
      <c r="F16" s="73"/>
      <c r="G16" s="308" t="s">
        <v>142</v>
      </c>
      <c r="H16" s="309"/>
      <c r="I16" s="160"/>
      <c r="J16" s="191">
        <f t="shared" si="0"/>
        <v>8.5</v>
      </c>
      <c r="K16"/>
      <c r="L16"/>
      <c r="M16"/>
      <c r="N16"/>
      <c r="O16"/>
      <c r="P16" s="9"/>
      <c r="Q16" s="9"/>
      <c r="R16" s="9"/>
      <c r="S16" s="9"/>
      <c r="T16" s="9"/>
      <c r="U16" s="9"/>
      <c r="V16" s="9"/>
    </row>
    <row r="17" spans="1:22" s="18" customFormat="1">
      <c r="A17" s="58" t="s">
        <v>110</v>
      </c>
      <c r="B17" s="58"/>
      <c r="C17" s="58"/>
      <c r="D17" s="73"/>
      <c r="E17" s="23">
        <f>INFORMATION!G42</f>
        <v>50</v>
      </c>
      <c r="F17" s="73"/>
      <c r="G17" s="308" t="s">
        <v>142</v>
      </c>
      <c r="H17" s="309"/>
      <c r="I17" s="160"/>
      <c r="J17" s="191">
        <f t="shared" si="0"/>
        <v>8.5</v>
      </c>
      <c r="K17"/>
      <c r="L17"/>
      <c r="M17"/>
      <c r="N17"/>
      <c r="O17"/>
      <c r="P17" s="9"/>
      <c r="Q17" s="9"/>
      <c r="R17" s="9"/>
      <c r="S17" s="9"/>
      <c r="T17" s="9"/>
      <c r="U17" s="9"/>
      <c r="V17" s="9"/>
    </row>
    <row r="18" spans="1:22" s="18" customFormat="1">
      <c r="A18" s="58" t="s">
        <v>111</v>
      </c>
      <c r="B18" s="58"/>
      <c r="C18" s="58"/>
      <c r="D18" s="73"/>
      <c r="E18" s="23">
        <f>INFORMATION!C42</f>
        <v>0</v>
      </c>
      <c r="F18" s="73"/>
      <c r="G18" s="308" t="s">
        <v>142</v>
      </c>
      <c r="H18" s="309"/>
      <c r="I18" s="160"/>
      <c r="J18" s="191">
        <f t="shared" si="0"/>
        <v>0</v>
      </c>
      <c r="K18"/>
      <c r="L18"/>
      <c r="M18"/>
      <c r="N18"/>
      <c r="O18"/>
      <c r="P18" s="9"/>
      <c r="Q18" s="9"/>
      <c r="R18" s="9"/>
      <c r="S18" s="9"/>
      <c r="T18" s="9"/>
      <c r="U18" s="9"/>
      <c r="V18" s="9"/>
    </row>
    <row r="19" spans="1:22" s="18" customFormat="1">
      <c r="A19" s="58" t="s">
        <v>112</v>
      </c>
      <c r="B19" s="58"/>
      <c r="C19" s="73"/>
      <c r="D19" s="73"/>
      <c r="E19" s="23">
        <f>'MONTHLY LIVING'!F29</f>
        <v>225</v>
      </c>
      <c r="F19" s="73"/>
      <c r="G19" s="308" t="s">
        <v>142</v>
      </c>
      <c r="H19" s="309"/>
      <c r="I19" s="160"/>
      <c r="J19" s="191">
        <f t="shared" si="0"/>
        <v>38.25</v>
      </c>
      <c r="K19"/>
      <c r="L19"/>
      <c r="M19"/>
      <c r="N19"/>
      <c r="O19"/>
      <c r="P19" s="9"/>
      <c r="Q19" s="9"/>
      <c r="R19" s="9"/>
      <c r="S19" s="9"/>
      <c r="T19" s="9"/>
      <c r="U19" s="9"/>
      <c r="V19" s="9"/>
    </row>
    <row r="20" spans="1:22" s="18" customFormat="1">
      <c r="A20" s="58" t="s">
        <v>113</v>
      </c>
      <c r="B20" s="58"/>
      <c r="C20" s="73"/>
      <c r="D20" s="73"/>
      <c r="E20" s="23" t="e">
        <f>INFORMATION!G41</f>
        <v>#VALUE!</v>
      </c>
      <c r="F20" s="73"/>
      <c r="G20" s="308" t="s">
        <v>142</v>
      </c>
      <c r="H20" s="309"/>
      <c r="I20" s="160"/>
      <c r="J20" s="191" t="e">
        <f t="shared" si="0"/>
        <v>#VALUE!</v>
      </c>
      <c r="K20"/>
      <c r="L20"/>
      <c r="M20"/>
      <c r="N20"/>
      <c r="O20"/>
      <c r="P20" s="9"/>
      <c r="Q20" s="9"/>
      <c r="R20" s="9"/>
      <c r="S20" s="9"/>
      <c r="T20" s="9"/>
      <c r="U20" s="9"/>
      <c r="V20" s="9"/>
    </row>
    <row r="21" spans="1:22" s="18" customFormat="1">
      <c r="A21" s="58" t="s">
        <v>99</v>
      </c>
      <c r="B21" s="58"/>
      <c r="C21" s="73"/>
      <c r="D21" s="73"/>
      <c r="E21" s="23">
        <f>'MONTHLY LIVING'!F41</f>
        <v>20</v>
      </c>
      <c r="F21" s="73"/>
      <c r="G21" s="308" t="s">
        <v>142</v>
      </c>
      <c r="H21" s="309"/>
      <c r="I21" s="160"/>
      <c r="J21" s="191">
        <f t="shared" si="0"/>
        <v>3.4000000000000004</v>
      </c>
      <c r="K21"/>
      <c r="L21"/>
      <c r="M21"/>
      <c r="N21"/>
      <c r="O21"/>
      <c r="P21" s="9"/>
      <c r="Q21" s="9"/>
      <c r="R21" s="9"/>
      <c r="S21" s="9"/>
      <c r="T21" s="9"/>
      <c r="U21" s="9"/>
      <c r="V21" s="9"/>
    </row>
    <row r="22" spans="1:22" s="18" customFormat="1">
      <c r="A22" s="58"/>
      <c r="B22" s="58"/>
      <c r="C22" s="73"/>
      <c r="D22" s="73"/>
      <c r="E22" s="78"/>
      <c r="F22" s="73"/>
      <c r="G22" s="52"/>
      <c r="H22" s="52"/>
      <c r="I22" s="52"/>
      <c r="J22" s="52"/>
      <c r="K22"/>
      <c r="L22"/>
      <c r="M22"/>
      <c r="N22"/>
      <c r="O22"/>
      <c r="P22" s="9"/>
      <c r="Q22" s="9"/>
      <c r="R22" s="9"/>
      <c r="S22" s="9"/>
      <c r="T22" s="9"/>
      <c r="U22" s="9"/>
      <c r="V22" s="9"/>
    </row>
    <row r="23" spans="1:22" s="18" customFormat="1">
      <c r="A23" s="192" t="s">
        <v>318</v>
      </c>
      <c r="B23" s="158"/>
      <c r="C23" s="159"/>
      <c r="D23" s="73"/>
      <c r="E23" s="23" t="e">
        <f>E10+E11+E12+E13+E14+E15+E16+E17+E18+E19+E20+E21</f>
        <v>#VALUE!</v>
      </c>
      <c r="F23" s="73"/>
      <c r="G23" s="193" t="s">
        <v>259</v>
      </c>
      <c r="H23" s="160"/>
      <c r="I23" s="160"/>
      <c r="J23" s="191" t="e">
        <f t="shared" si="0"/>
        <v>#VALUE!</v>
      </c>
      <c r="K23"/>
      <c r="L23"/>
      <c r="M23"/>
      <c r="N23"/>
      <c r="O23"/>
      <c r="P23" s="9"/>
      <c r="Q23" s="9"/>
      <c r="R23" s="9"/>
      <c r="S23" s="9"/>
      <c r="T23" s="9"/>
      <c r="U23" s="9"/>
      <c r="V23" s="9"/>
    </row>
    <row r="24" spans="1:22" s="18" customFormat="1">
      <c r="A24" s="73"/>
      <c r="B24" s="73"/>
      <c r="C24" s="73"/>
      <c r="D24" s="73"/>
      <c r="E24" s="24"/>
      <c r="F24" s="73"/>
      <c r="G24" s="58"/>
      <c r="H24" s="73"/>
      <c r="I24" s="79" t="s">
        <v>170</v>
      </c>
      <c r="J24" s="73"/>
      <c r="K24"/>
      <c r="L24"/>
      <c r="M24"/>
      <c r="N24"/>
      <c r="O24"/>
      <c r="P24" s="9"/>
      <c r="Q24" s="9"/>
      <c r="R24" s="9"/>
      <c r="S24" s="9"/>
      <c r="T24" s="9"/>
      <c r="U24" s="9"/>
      <c r="V24" s="9"/>
    </row>
    <row r="25" spans="1:22" s="18" customFormat="1">
      <c r="A25" s="336" t="s">
        <v>376</v>
      </c>
      <c r="B25" s="310"/>
      <c r="C25" s="310"/>
      <c r="D25" s="310"/>
      <c r="E25" s="298"/>
      <c r="F25" s="73"/>
      <c r="G25" s="360" t="s">
        <v>30</v>
      </c>
      <c r="H25" s="298"/>
      <c r="I25" s="79" t="s">
        <v>31</v>
      </c>
      <c r="J25" s="194">
        <f>D4*0.17</f>
        <v>0</v>
      </c>
      <c r="K25"/>
      <c r="L25"/>
      <c r="M25"/>
      <c r="N25"/>
      <c r="O25"/>
      <c r="P25" s="9"/>
      <c r="Q25" s="9"/>
      <c r="R25" s="9"/>
      <c r="S25" s="9"/>
      <c r="T25" s="9"/>
      <c r="U25" s="9"/>
      <c r="V25" s="9"/>
    </row>
    <row r="26" spans="1:22" s="18" customFormat="1">
      <c r="A26" s="73"/>
      <c r="B26" s="73"/>
      <c r="C26" s="73"/>
      <c r="D26" s="73"/>
      <c r="E26" s="24"/>
      <c r="F26" s="73"/>
      <c r="G26" s="58"/>
      <c r="H26" s="73"/>
      <c r="I26" s="79" t="s">
        <v>170</v>
      </c>
      <c r="J26" s="73"/>
      <c r="K26"/>
      <c r="L26"/>
      <c r="M26"/>
      <c r="N26"/>
      <c r="O26"/>
      <c r="P26" s="9"/>
      <c r="Q26" s="9"/>
      <c r="R26" s="9"/>
      <c r="S26" s="9"/>
      <c r="T26" s="9"/>
      <c r="U26" s="9"/>
      <c r="V26" s="9"/>
    </row>
    <row r="27" spans="1:22" s="18" customFormat="1">
      <c r="A27" s="342" t="s">
        <v>341</v>
      </c>
      <c r="B27" s="337"/>
      <c r="C27" s="337"/>
      <c r="D27" s="341"/>
      <c r="E27" s="26">
        <f>'MONTHLY LIVING'!F49+'MONTHLY LIVING'!F58+'MONTHLY LIVING'!F70+'MONTHLY LIVING'!F77+'MONTHLY LIVING'!F82</f>
        <v>25</v>
      </c>
      <c r="F27" s="73"/>
      <c r="G27" s="360" t="s">
        <v>35</v>
      </c>
      <c r="H27" s="298"/>
      <c r="I27" s="79" t="s">
        <v>31</v>
      </c>
      <c r="J27" s="194">
        <f>J25-E27</f>
        <v>-25</v>
      </c>
      <c r="K27"/>
      <c r="L27"/>
      <c r="M27"/>
      <c r="N27"/>
      <c r="O27"/>
      <c r="P27" s="9"/>
      <c r="Q27" s="9"/>
      <c r="R27" s="9"/>
      <c r="S27" s="9"/>
      <c r="T27" s="9"/>
      <c r="U27" s="9"/>
      <c r="V27" s="9"/>
    </row>
    <row r="28" spans="1:22" s="18" customFormat="1" ht="14" thickBot="1">
      <c r="A28" s="73"/>
      <c r="B28" s="73"/>
      <c r="C28" s="73"/>
      <c r="D28" s="73"/>
      <c r="E28" s="24"/>
      <c r="F28" s="73"/>
      <c r="G28" s="58"/>
      <c r="H28" s="73"/>
      <c r="I28" s="79"/>
      <c r="J28" s="73"/>
      <c r="K28"/>
      <c r="L28"/>
      <c r="M28"/>
      <c r="N28"/>
      <c r="O28"/>
      <c r="P28" s="9"/>
      <c r="Q28" s="9"/>
      <c r="R28" s="9"/>
      <c r="S28" s="9"/>
      <c r="T28" s="9"/>
      <c r="U28" s="9"/>
      <c r="V28" s="9"/>
    </row>
    <row r="29" spans="1:22" s="18" customFormat="1" ht="13" customHeight="1" thickTop="1">
      <c r="A29" s="342" t="s">
        <v>228</v>
      </c>
      <c r="B29" s="337"/>
      <c r="C29" s="337"/>
      <c r="D29" s="341"/>
      <c r="E29" s="26">
        <f>J48</f>
        <v>0</v>
      </c>
      <c r="F29" s="73"/>
      <c r="G29" s="348" t="s">
        <v>427</v>
      </c>
      <c r="H29" s="349"/>
      <c r="I29" s="349"/>
      <c r="J29" s="350"/>
      <c r="K29"/>
      <c r="L29"/>
      <c r="M29"/>
      <c r="N29"/>
      <c r="O29"/>
      <c r="P29" s="9"/>
      <c r="Q29" s="9"/>
      <c r="R29" s="9"/>
      <c r="S29" s="9"/>
      <c r="T29" s="9"/>
      <c r="U29" s="9"/>
      <c r="V29" s="9"/>
    </row>
    <row r="30" spans="1:22" s="18" customFormat="1">
      <c r="A30" s="73"/>
      <c r="B30" s="73"/>
      <c r="C30" s="73"/>
      <c r="D30" s="73"/>
      <c r="E30" s="73"/>
      <c r="F30" s="59"/>
      <c r="G30" s="351"/>
      <c r="H30" s="352"/>
      <c r="I30" s="352"/>
      <c r="J30" s="353"/>
      <c r="K30"/>
      <c r="L30"/>
      <c r="M30"/>
      <c r="N30"/>
      <c r="O30"/>
      <c r="P30" s="9"/>
      <c r="Q30" s="9"/>
      <c r="R30" s="9"/>
      <c r="S30" s="9"/>
      <c r="T30" s="9"/>
      <c r="U30" s="9"/>
      <c r="V30" s="9"/>
    </row>
    <row r="31" spans="1:22">
      <c r="A31" s="343" t="s">
        <v>379</v>
      </c>
      <c r="B31" s="344"/>
      <c r="C31" s="344"/>
      <c r="D31" s="345"/>
      <c r="E31" s="186" t="e">
        <f>E23+E27+J41+E29</f>
        <v>#VALUE!</v>
      </c>
      <c r="F31" s="52"/>
      <c r="G31" s="351"/>
      <c r="H31" s="352"/>
      <c r="I31" s="352"/>
      <c r="J31" s="353"/>
    </row>
    <row r="32" spans="1:22">
      <c r="A32" s="59"/>
      <c r="B32" s="59"/>
      <c r="C32" s="59"/>
      <c r="D32" s="59"/>
      <c r="E32" s="59"/>
      <c r="F32" s="52"/>
      <c r="G32" s="354"/>
      <c r="H32" s="355"/>
      <c r="I32" s="355"/>
      <c r="J32" s="356"/>
    </row>
    <row r="33" spans="1:22" ht="14" thickBot="1">
      <c r="A33" s="340" t="s">
        <v>377</v>
      </c>
      <c r="B33" s="335"/>
      <c r="C33" s="335"/>
      <c r="D33" s="341"/>
      <c r="E33" s="195" t="e">
        <f>D4-E31</f>
        <v>#VALUE!</v>
      </c>
      <c r="F33" s="52"/>
      <c r="G33" s="357"/>
      <c r="H33" s="358"/>
      <c r="I33" s="358"/>
      <c r="J33" s="359"/>
    </row>
    <row r="34" spans="1:22" ht="14" thickTop="1">
      <c r="A34" s="52"/>
      <c r="B34" s="52"/>
      <c r="C34" s="52"/>
      <c r="D34" s="52"/>
      <c r="E34" s="52"/>
      <c r="F34" s="52"/>
      <c r="G34" s="52"/>
      <c r="H34" s="52"/>
      <c r="I34" s="52"/>
      <c r="J34" s="52"/>
    </row>
    <row r="35" spans="1:22" ht="15">
      <c r="A35" s="338" t="s">
        <v>380</v>
      </c>
      <c r="B35" s="339"/>
      <c r="C35" s="339"/>
      <c r="D35" s="339"/>
      <c r="E35" s="339"/>
      <c r="F35" s="339"/>
      <c r="G35" s="339"/>
      <c r="H35" s="339"/>
      <c r="I35" s="52"/>
      <c r="J35" s="52"/>
    </row>
    <row r="36" spans="1:22" s="4" customFormat="1">
      <c r="A36" s="324" t="s">
        <v>245</v>
      </c>
      <c r="B36" s="325"/>
      <c r="C36" s="326"/>
      <c r="D36" s="324" t="s">
        <v>246</v>
      </c>
      <c r="E36" s="325"/>
      <c r="F36" s="325"/>
      <c r="G36" s="325"/>
      <c r="H36" s="326"/>
      <c r="I36" s="196"/>
      <c r="J36" s="197" t="s">
        <v>296</v>
      </c>
      <c r="K36"/>
      <c r="L36"/>
      <c r="M36"/>
      <c r="N36"/>
      <c r="O36"/>
      <c r="P36" s="109"/>
      <c r="Q36" s="109"/>
      <c r="R36" s="109"/>
      <c r="S36" s="109"/>
      <c r="T36" s="109"/>
      <c r="U36" s="109"/>
      <c r="V36" s="109"/>
    </row>
    <row r="37" spans="1:22">
      <c r="A37" s="327" t="str">
        <f>'MONTHLY LIVING'!C108</f>
        <v xml:space="preserve"> </v>
      </c>
      <c r="B37" s="328"/>
      <c r="C37" s="329"/>
      <c r="D37" s="316" t="str">
        <f>'MONTHLY LIVING'!F108</f>
        <v xml:space="preserve"> </v>
      </c>
      <c r="E37" s="316"/>
      <c r="F37" s="316"/>
      <c r="G37" s="316"/>
      <c r="H37" s="316"/>
      <c r="I37" s="52"/>
      <c r="J37" s="198">
        <f>'MONTHLY LIVING'!H108</f>
        <v>3</v>
      </c>
    </row>
    <row r="38" spans="1:22">
      <c r="A38" s="330" t="str">
        <f>'MONTHLY LIVING'!C109</f>
        <v xml:space="preserve"> </v>
      </c>
      <c r="B38" s="331"/>
      <c r="C38" s="332"/>
      <c r="D38" s="317" t="str">
        <f>'MONTHLY LIVING'!F109</f>
        <v xml:space="preserve"> </v>
      </c>
      <c r="E38" s="317"/>
      <c r="F38" s="317"/>
      <c r="G38" s="317"/>
      <c r="H38" s="317"/>
      <c r="I38" s="52"/>
      <c r="J38" s="199">
        <f>'MONTHLY LIVING'!H109</f>
        <v>0</v>
      </c>
    </row>
    <row r="39" spans="1:22">
      <c r="A39" s="333" t="str">
        <f>'MONTHLY LIVING'!C110</f>
        <v xml:space="preserve"> </v>
      </c>
      <c r="B39" s="333"/>
      <c r="C39" s="333"/>
      <c r="D39" s="316" t="str">
        <f>'MONTHLY LIVING'!F110</f>
        <v xml:space="preserve"> </v>
      </c>
      <c r="E39" s="316"/>
      <c r="F39" s="316"/>
      <c r="G39" s="316"/>
      <c r="H39" s="316"/>
      <c r="I39" s="52"/>
      <c r="J39" s="198">
        <f>'MONTHLY LIVING'!H110</f>
        <v>0</v>
      </c>
    </row>
    <row r="40" spans="1:22">
      <c r="A40" s="334" t="str">
        <f>'MONTHLY LIVING'!C111</f>
        <v xml:space="preserve"> </v>
      </c>
      <c r="B40" s="334"/>
      <c r="C40" s="334"/>
      <c r="D40" s="317" t="str">
        <f>'MONTHLY LIVING'!F111</f>
        <v xml:space="preserve"> </v>
      </c>
      <c r="E40" s="317"/>
      <c r="F40" s="317"/>
      <c r="G40" s="317"/>
      <c r="H40" s="317"/>
      <c r="I40" s="52"/>
      <c r="J40" s="199">
        <f>'MONTHLY LIVING'!H111</f>
        <v>0</v>
      </c>
    </row>
    <row r="41" spans="1:22">
      <c r="A41" s="200"/>
      <c r="B41" s="200"/>
      <c r="C41" s="200"/>
      <c r="D41" s="201" t="s">
        <v>351</v>
      </c>
      <c r="E41" s="201"/>
      <c r="F41" s="201"/>
      <c r="G41" s="201"/>
      <c r="H41" s="337" t="s">
        <v>378</v>
      </c>
      <c r="I41" s="289"/>
      <c r="J41" s="15">
        <f>SUM(J37:J40)</f>
        <v>3</v>
      </c>
    </row>
    <row r="42" spans="1:22" ht="16">
      <c r="A42" s="202" t="s">
        <v>11</v>
      </c>
      <c r="B42" s="52"/>
      <c r="C42" s="52"/>
      <c r="D42" s="335" t="s">
        <v>381</v>
      </c>
      <c r="E42" s="335"/>
      <c r="F42" s="335"/>
      <c r="G42" s="335"/>
      <c r="H42" s="335"/>
      <c r="I42" s="335"/>
      <c r="J42" s="335"/>
    </row>
    <row r="43" spans="1:22">
      <c r="A43" s="203" t="s">
        <v>12</v>
      </c>
      <c r="B43" s="324" t="s">
        <v>246</v>
      </c>
      <c r="C43" s="361"/>
      <c r="D43" s="361"/>
      <c r="E43" s="361"/>
      <c r="F43" s="361"/>
      <c r="G43" s="361"/>
      <c r="H43" s="362"/>
      <c r="I43" s="196"/>
      <c r="J43" s="197" t="s">
        <v>296</v>
      </c>
    </row>
    <row r="44" spans="1:22">
      <c r="A44" s="204" t="s">
        <v>93</v>
      </c>
      <c r="B44" s="315">
        <f>'MONTHLY LIVING'!G100</f>
        <v>0</v>
      </c>
      <c r="C44" s="315"/>
      <c r="D44" s="315"/>
      <c r="E44" s="315"/>
      <c r="F44" s="315"/>
      <c r="G44" s="315"/>
      <c r="H44" s="315"/>
      <c r="I44" s="52"/>
      <c r="J44" s="15">
        <f>'MONTHLY LIVING'!F100</f>
        <v>0</v>
      </c>
    </row>
    <row r="45" spans="1:22">
      <c r="A45" s="204" t="s">
        <v>94</v>
      </c>
      <c r="B45" s="315" t="str">
        <f>'MONTHLY LIVING'!G101</f>
        <v xml:space="preserve"> </v>
      </c>
      <c r="C45" s="315"/>
      <c r="D45" s="315"/>
      <c r="E45" s="315"/>
      <c r="F45" s="315"/>
      <c r="G45" s="315"/>
      <c r="H45" s="315"/>
      <c r="I45" s="52"/>
      <c r="J45" s="15">
        <f>'MONTHLY LIVING'!F101</f>
        <v>0</v>
      </c>
    </row>
    <row r="46" spans="1:22">
      <c r="A46" s="204" t="s">
        <v>95</v>
      </c>
      <c r="B46" s="315" t="str">
        <f>'MONTHLY LIVING'!G102</f>
        <v xml:space="preserve"> </v>
      </c>
      <c r="C46" s="315"/>
      <c r="D46" s="315"/>
      <c r="E46" s="315"/>
      <c r="F46" s="315"/>
      <c r="G46" s="315"/>
      <c r="H46" s="315"/>
      <c r="I46" s="52"/>
      <c r="J46" s="15">
        <f>'MONTHLY LIVING'!F102</f>
        <v>0</v>
      </c>
    </row>
    <row r="47" spans="1:22">
      <c r="A47" s="204" t="s">
        <v>96</v>
      </c>
      <c r="B47" s="315" t="str">
        <f>'MONTHLY LIVING'!G103</f>
        <v xml:space="preserve"> </v>
      </c>
      <c r="C47" s="315"/>
      <c r="D47" s="315"/>
      <c r="E47" s="315"/>
      <c r="F47" s="315"/>
      <c r="G47" s="315"/>
      <c r="H47" s="315"/>
      <c r="I47" s="52"/>
      <c r="J47" s="15">
        <f>'MONTHLY LIVING'!F103</f>
        <v>0</v>
      </c>
    </row>
    <row r="48" spans="1:22">
      <c r="A48" s="205"/>
      <c r="B48" s="206"/>
      <c r="C48" s="206"/>
      <c r="D48" s="206"/>
      <c r="E48" s="206"/>
      <c r="F48" s="206"/>
      <c r="G48" s="206"/>
      <c r="H48" s="337" t="s">
        <v>378</v>
      </c>
      <c r="I48" s="289"/>
      <c r="J48" s="15">
        <f>SUM(J44:J47)</f>
        <v>0</v>
      </c>
    </row>
    <row r="49" spans="1:10">
      <c r="A49" s="174"/>
      <c r="B49" s="174"/>
      <c r="C49" s="174"/>
      <c r="D49" s="173"/>
      <c r="E49" s="173"/>
      <c r="F49" s="173"/>
      <c r="G49" s="173"/>
      <c r="H49" s="173"/>
      <c r="I49" s="126"/>
      <c r="J49" s="175"/>
    </row>
    <row r="50" spans="1:10">
      <c r="A50" s="318" t="s">
        <v>275</v>
      </c>
      <c r="B50" s="319"/>
      <c r="C50" s="319"/>
      <c r="D50" s="319"/>
      <c r="E50" s="319"/>
      <c r="F50" s="319"/>
      <c r="G50" s="319"/>
      <c r="H50" s="319"/>
      <c r="I50" s="319"/>
      <c r="J50" s="320"/>
    </row>
    <row r="51" spans="1:10">
      <c r="A51" s="321"/>
      <c r="B51" s="322"/>
      <c r="C51" s="322"/>
      <c r="D51" s="322"/>
      <c r="E51" s="322"/>
      <c r="F51" s="322"/>
      <c r="G51" s="322"/>
      <c r="H51" s="322"/>
      <c r="I51" s="322"/>
      <c r="J51" s="323"/>
    </row>
    <row r="52" spans="1:10">
      <c r="A52"/>
      <c r="B52"/>
      <c r="C52"/>
      <c r="D52"/>
      <c r="E52"/>
      <c r="F52"/>
      <c r="G52"/>
      <c r="H52"/>
      <c r="I52"/>
      <c r="J52"/>
    </row>
    <row r="53" spans="1:10">
      <c r="A53"/>
      <c r="B53"/>
      <c r="C53"/>
      <c r="D53"/>
      <c r="E53"/>
      <c r="F53"/>
      <c r="G53"/>
      <c r="H53"/>
      <c r="I53"/>
      <c r="J53"/>
    </row>
    <row r="54" spans="1:10">
      <c r="A54"/>
      <c r="B54"/>
      <c r="C54"/>
      <c r="D54"/>
      <c r="E54"/>
      <c r="F54"/>
      <c r="G54"/>
      <c r="H54"/>
      <c r="I54"/>
      <c r="J54"/>
    </row>
    <row r="55" spans="1:10">
      <c r="A55"/>
      <c r="B55"/>
      <c r="C55"/>
      <c r="D55"/>
      <c r="E55"/>
      <c r="F55"/>
      <c r="G55"/>
      <c r="H55"/>
      <c r="I55"/>
      <c r="J55"/>
    </row>
    <row r="56" spans="1:10">
      <c r="A56"/>
      <c r="B56"/>
      <c r="C56"/>
      <c r="D56"/>
      <c r="E56"/>
      <c r="F56"/>
      <c r="G56"/>
      <c r="H56"/>
      <c r="I56"/>
      <c r="J56"/>
    </row>
    <row r="57" spans="1:10">
      <c r="A57"/>
      <c r="B57"/>
      <c r="C57"/>
      <c r="D57"/>
      <c r="E57"/>
      <c r="F57"/>
      <c r="G57"/>
      <c r="H57"/>
      <c r="I57"/>
      <c r="J57"/>
    </row>
    <row r="58" spans="1:10">
      <c r="A58"/>
      <c r="B58"/>
      <c r="C58"/>
      <c r="D58"/>
      <c r="E58"/>
      <c r="F58"/>
      <c r="G58"/>
      <c r="H58"/>
      <c r="I58"/>
      <c r="J58"/>
    </row>
    <row r="59" spans="1:10">
      <c r="A59"/>
      <c r="B59"/>
      <c r="C59"/>
      <c r="D59"/>
      <c r="E59"/>
      <c r="F59"/>
      <c r="G59"/>
      <c r="H59"/>
      <c r="I59"/>
      <c r="J59"/>
    </row>
    <row r="60" spans="1:10">
      <c r="A60"/>
      <c r="B60"/>
      <c r="C60"/>
      <c r="D60"/>
      <c r="E60"/>
      <c r="F60"/>
      <c r="G60"/>
      <c r="H60"/>
      <c r="I60"/>
      <c r="J60"/>
    </row>
    <row r="61" spans="1:10">
      <c r="A61"/>
      <c r="B61"/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  <row r="63" spans="1:10">
      <c r="A63"/>
      <c r="B63"/>
      <c r="C63"/>
      <c r="D63"/>
      <c r="E63"/>
      <c r="F63"/>
      <c r="G63"/>
      <c r="H63"/>
      <c r="I63"/>
      <c r="J63"/>
    </row>
    <row r="64" spans="1:10">
      <c r="A64"/>
      <c r="B64"/>
      <c r="C64"/>
      <c r="D64"/>
      <c r="E64"/>
      <c r="F64"/>
      <c r="G64"/>
      <c r="H64"/>
      <c r="I64"/>
      <c r="J64"/>
    </row>
    <row r="65" spans="1:10">
      <c r="A65"/>
      <c r="B65"/>
      <c r="C65"/>
      <c r="D65"/>
      <c r="E65"/>
      <c r="F65"/>
      <c r="G65"/>
      <c r="H65"/>
      <c r="I65"/>
      <c r="J65"/>
    </row>
    <row r="66" spans="1:10">
      <c r="A66"/>
      <c r="B66"/>
      <c r="C66"/>
      <c r="D66"/>
      <c r="E66"/>
      <c r="F66"/>
      <c r="G66"/>
      <c r="H66"/>
      <c r="I66"/>
      <c r="J66"/>
    </row>
    <row r="67" spans="1:10">
      <c r="A67"/>
      <c r="B67"/>
      <c r="C67"/>
      <c r="D67"/>
      <c r="E67"/>
      <c r="F67"/>
      <c r="G67"/>
      <c r="H67"/>
      <c r="I67"/>
      <c r="J67"/>
    </row>
    <row r="68" spans="1:10">
      <c r="A68"/>
      <c r="B68"/>
      <c r="C68"/>
      <c r="D68"/>
      <c r="E68"/>
      <c r="F68"/>
      <c r="G68"/>
      <c r="H68"/>
      <c r="I68"/>
      <c r="J68"/>
    </row>
    <row r="69" spans="1:10">
      <c r="A69"/>
      <c r="B69"/>
      <c r="C69"/>
      <c r="D69"/>
      <c r="E69"/>
      <c r="F69"/>
      <c r="G69"/>
      <c r="H69"/>
      <c r="I69"/>
      <c r="J69"/>
    </row>
    <row r="70" spans="1:10">
      <c r="A70"/>
      <c r="B70"/>
      <c r="C70"/>
      <c r="D70"/>
      <c r="E70"/>
      <c r="F70"/>
      <c r="G70"/>
      <c r="H70"/>
      <c r="I70"/>
      <c r="J70"/>
    </row>
    <row r="71" spans="1:10">
      <c r="A71"/>
      <c r="B71"/>
      <c r="C71"/>
      <c r="D71"/>
      <c r="E71"/>
      <c r="F71"/>
      <c r="G71"/>
      <c r="H71"/>
      <c r="I71"/>
      <c r="J71"/>
    </row>
    <row r="72" spans="1:10">
      <c r="A72"/>
      <c r="B72"/>
      <c r="C72"/>
      <c r="D72"/>
      <c r="E72"/>
      <c r="F72"/>
      <c r="G72"/>
      <c r="H72"/>
      <c r="I72"/>
      <c r="J72"/>
    </row>
    <row r="73" spans="1:10">
      <c r="A73"/>
      <c r="B73"/>
      <c r="C73"/>
      <c r="D73"/>
      <c r="E73"/>
      <c r="F73"/>
      <c r="G73"/>
      <c r="H73"/>
      <c r="I73"/>
      <c r="J73"/>
    </row>
    <row r="74" spans="1:10">
      <c r="A74"/>
      <c r="B74"/>
      <c r="C74"/>
      <c r="D74"/>
      <c r="E74"/>
      <c r="F74"/>
      <c r="G74"/>
      <c r="H74"/>
      <c r="I74"/>
      <c r="J74"/>
    </row>
    <row r="75" spans="1:10">
      <c r="A75"/>
      <c r="B75"/>
      <c r="C75"/>
      <c r="D75"/>
      <c r="E75"/>
      <c r="F75"/>
      <c r="G75"/>
      <c r="H75"/>
      <c r="I75"/>
      <c r="J75"/>
    </row>
  </sheetData>
  <sheetProtection password="C640" sheet="1" objects="1" scenarios="1"/>
  <customSheetViews>
    <customSheetView guid="{D8F4F400-1F22-11D7-BD75-C829030E573B}" showPageBreaks="1" showRuler="0">
      <selection activeCell="L22" sqref="L22"/>
      <pageSetup orientation="portrait" horizontalDpi="4294967292" verticalDpi="4294967292"/>
    </customSheetView>
  </customSheetViews>
  <mergeCells count="48">
    <mergeCell ref="G10:H10"/>
    <mergeCell ref="G11:H11"/>
    <mergeCell ref="G12:H12"/>
    <mergeCell ref="G13:H13"/>
    <mergeCell ref="D36:H36"/>
    <mergeCell ref="B45:H45"/>
    <mergeCell ref="B46:H46"/>
    <mergeCell ref="A25:E25"/>
    <mergeCell ref="H41:I41"/>
    <mergeCell ref="A35:H35"/>
    <mergeCell ref="A33:D33"/>
    <mergeCell ref="A29:D29"/>
    <mergeCell ref="A27:D27"/>
    <mergeCell ref="A31:D31"/>
    <mergeCell ref="G29:J33"/>
    <mergeCell ref="G27:H27"/>
    <mergeCell ref="G25:H25"/>
    <mergeCell ref="B43:H43"/>
    <mergeCell ref="A36:C36"/>
    <mergeCell ref="A37:C37"/>
    <mergeCell ref="A38:C38"/>
    <mergeCell ref="A39:C39"/>
    <mergeCell ref="A40:C40"/>
    <mergeCell ref="B44:H44"/>
    <mergeCell ref="D37:H37"/>
    <mergeCell ref="D38:H38"/>
    <mergeCell ref="A50:J51"/>
    <mergeCell ref="D40:H40"/>
    <mergeCell ref="D39:H39"/>
    <mergeCell ref="B47:H47"/>
    <mergeCell ref="D42:J42"/>
    <mergeCell ref="H48:I48"/>
    <mergeCell ref="F1:J1"/>
    <mergeCell ref="G21:H21"/>
    <mergeCell ref="B2:D2"/>
    <mergeCell ref="B3:D3"/>
    <mergeCell ref="G17:H17"/>
    <mergeCell ref="G19:H19"/>
    <mergeCell ref="A6:E7"/>
    <mergeCell ref="G7:J7"/>
    <mergeCell ref="G18:H18"/>
    <mergeCell ref="F2:H2"/>
    <mergeCell ref="F3:H3"/>
    <mergeCell ref="F4:H4"/>
    <mergeCell ref="G14:H14"/>
    <mergeCell ref="G15:H15"/>
    <mergeCell ref="G16:H16"/>
    <mergeCell ref="G20:H20"/>
  </mergeCells>
  <phoneticPr fontId="25" type="noConversion"/>
  <printOptions gridLines="1"/>
  <pageMargins left="0.75" right="0.25" top="0.5" bottom="0.5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13" workbookViewId="0">
      <selection activeCell="A102" sqref="A102"/>
    </sheetView>
  </sheetViews>
  <sheetFormatPr baseColWidth="10" defaultRowHeight="13" x14ac:dyDescent="0"/>
  <cols>
    <col min="1" max="1" width="51" customWidth="1"/>
    <col min="2" max="2" width="10.1640625" customWidth="1"/>
    <col min="4" max="4" width="16.5" customWidth="1"/>
    <col min="5" max="5" width="6.5" customWidth="1"/>
  </cols>
  <sheetData>
    <row r="1" spans="1:6" ht="33">
      <c r="A1" s="38" t="s">
        <v>194</v>
      </c>
    </row>
    <row r="2" spans="1:6" s="28" customFormat="1" ht="16"/>
    <row r="3" spans="1:6">
      <c r="A3" t="s">
        <v>394</v>
      </c>
    </row>
    <row r="4" spans="1:6">
      <c r="A4" s="214" t="s">
        <v>374</v>
      </c>
    </row>
    <row r="6" spans="1:6">
      <c r="A6" t="s">
        <v>395</v>
      </c>
    </row>
    <row r="7" spans="1:6">
      <c r="A7" t="s">
        <v>396</v>
      </c>
    </row>
    <row r="8" spans="1:6">
      <c r="A8" t="s">
        <v>238</v>
      </c>
    </row>
    <row r="9" spans="1:6">
      <c r="A9" t="s">
        <v>193</v>
      </c>
    </row>
    <row r="10" spans="1:6">
      <c r="A10" t="s">
        <v>352</v>
      </c>
    </row>
    <row r="12" spans="1:6">
      <c r="A12" t="s">
        <v>154</v>
      </c>
    </row>
    <row r="13" spans="1:6">
      <c r="A13" s="36"/>
    </row>
    <row r="14" spans="1:6" ht="18">
      <c r="A14" s="37" t="s">
        <v>195</v>
      </c>
      <c r="D14" t="s">
        <v>375</v>
      </c>
    </row>
    <row r="15" spans="1:6">
      <c r="A15" s="185" t="s">
        <v>247</v>
      </c>
      <c r="B15" s="14">
        <f>INFORMATION!F7/2</f>
        <v>0</v>
      </c>
      <c r="D15" s="14">
        <f>(B15+B15*0.075)/12</f>
        <v>0</v>
      </c>
      <c r="F15" s="11" t="s">
        <v>97</v>
      </c>
    </row>
    <row r="17" spans="1:2">
      <c r="A17" s="45" t="s">
        <v>196</v>
      </c>
      <c r="B17" s="31"/>
    </row>
    <row r="18" spans="1:2">
      <c r="A18" s="39" t="s">
        <v>198</v>
      </c>
      <c r="B18" s="40"/>
    </row>
    <row r="19" spans="1:2">
      <c r="A19" s="39" t="s">
        <v>199</v>
      </c>
      <c r="B19" s="40">
        <v>2500</v>
      </c>
    </row>
    <row r="20" spans="1:2">
      <c r="A20" s="39" t="s">
        <v>200</v>
      </c>
      <c r="B20" s="40"/>
    </row>
    <row r="21" spans="1:2">
      <c r="A21" s="39" t="s">
        <v>155</v>
      </c>
      <c r="B21" s="40">
        <v>500</v>
      </c>
    </row>
    <row r="22" spans="1:2">
      <c r="A22" s="39" t="s">
        <v>5</v>
      </c>
      <c r="B22" s="40"/>
    </row>
    <row r="23" spans="1:2">
      <c r="A23" s="39" t="s">
        <v>191</v>
      </c>
      <c r="B23" s="40">
        <v>400</v>
      </c>
    </row>
    <row r="24" spans="1:2">
      <c r="A24" s="39" t="s">
        <v>322</v>
      </c>
      <c r="B24" s="40"/>
    </row>
    <row r="25" spans="1:2">
      <c r="A25" s="39" t="s">
        <v>192</v>
      </c>
      <c r="B25" s="40">
        <v>350</v>
      </c>
    </row>
    <row r="26" spans="1:2">
      <c r="A26" s="39" t="s">
        <v>41</v>
      </c>
      <c r="B26" s="40"/>
    </row>
    <row r="27" spans="1:2">
      <c r="A27" s="39" t="s">
        <v>251</v>
      </c>
      <c r="B27" s="40">
        <v>325</v>
      </c>
    </row>
    <row r="28" spans="1:2">
      <c r="A28" s="39" t="s">
        <v>252</v>
      </c>
      <c r="B28" s="40"/>
    </row>
    <row r="29" spans="1:2">
      <c r="A29" s="39" t="s">
        <v>145</v>
      </c>
      <c r="B29" s="40">
        <v>300</v>
      </c>
    </row>
    <row r="30" spans="1:2">
      <c r="A30" s="39" t="s">
        <v>258</v>
      </c>
      <c r="B30" s="40"/>
    </row>
    <row r="31" spans="1:2">
      <c r="A31" s="39" t="s">
        <v>324</v>
      </c>
      <c r="B31" s="40">
        <v>275</v>
      </c>
    </row>
    <row r="32" spans="1:2">
      <c r="A32" s="39" t="s">
        <v>325</v>
      </c>
      <c r="B32" s="40"/>
    </row>
    <row r="33" spans="1:4">
      <c r="A33" s="39" t="s">
        <v>79</v>
      </c>
      <c r="B33" s="40">
        <v>100</v>
      </c>
    </row>
    <row r="34" spans="1:4">
      <c r="A34" s="39" t="s">
        <v>350</v>
      </c>
      <c r="B34" s="40"/>
    </row>
    <row r="35" spans="1:4">
      <c r="A35" s="39" t="s">
        <v>100</v>
      </c>
      <c r="B35" s="40">
        <v>100</v>
      </c>
    </row>
    <row r="36" spans="1:4">
      <c r="A36" s="39" t="s">
        <v>34</v>
      </c>
      <c r="B36" s="40"/>
    </row>
    <row r="37" spans="1:4">
      <c r="A37" s="39" t="s">
        <v>185</v>
      </c>
      <c r="B37" s="40">
        <v>100</v>
      </c>
    </row>
    <row r="38" spans="1:4">
      <c r="A38" s="39" t="s">
        <v>229</v>
      </c>
      <c r="B38" s="40"/>
    </row>
    <row r="39" spans="1:4">
      <c r="A39" s="39" t="s">
        <v>230</v>
      </c>
      <c r="B39" s="40">
        <v>50</v>
      </c>
    </row>
    <row r="40" spans="1:4">
      <c r="A40" s="32"/>
      <c r="B40" s="33"/>
      <c r="D40" t="s">
        <v>72</v>
      </c>
    </row>
    <row r="41" spans="1:4">
      <c r="A41" s="34"/>
      <c r="B41" s="35">
        <v>5000</v>
      </c>
      <c r="D41" s="14">
        <f>B41/12</f>
        <v>416.66666666666669</v>
      </c>
    </row>
    <row r="42" spans="1:4">
      <c r="B42" s="11"/>
    </row>
    <row r="43" spans="1:4">
      <c r="A43" s="46" t="s">
        <v>197</v>
      </c>
      <c r="B43" s="30"/>
    </row>
    <row r="44" spans="1:4">
      <c r="A44" s="41" t="s">
        <v>198</v>
      </c>
      <c r="B44" s="42"/>
    </row>
    <row r="45" spans="1:4">
      <c r="A45" s="41" t="s">
        <v>199</v>
      </c>
      <c r="B45" s="42">
        <v>7500</v>
      </c>
    </row>
    <row r="46" spans="1:4">
      <c r="A46" s="41" t="s">
        <v>200</v>
      </c>
      <c r="B46" s="42"/>
    </row>
    <row r="47" spans="1:4">
      <c r="A47" s="41" t="s">
        <v>155</v>
      </c>
      <c r="B47" s="42">
        <v>1500</v>
      </c>
    </row>
    <row r="48" spans="1:4">
      <c r="A48" s="41" t="s">
        <v>5</v>
      </c>
      <c r="B48" s="42"/>
    </row>
    <row r="49" spans="1:2">
      <c r="A49" s="41" t="s">
        <v>191</v>
      </c>
      <c r="B49" s="42">
        <v>1200</v>
      </c>
    </row>
    <row r="50" spans="1:2">
      <c r="A50" s="41" t="s">
        <v>322</v>
      </c>
      <c r="B50" s="42"/>
    </row>
    <row r="51" spans="1:2">
      <c r="A51" s="41" t="s">
        <v>192</v>
      </c>
      <c r="B51" s="42">
        <v>1050</v>
      </c>
    </row>
    <row r="52" spans="1:2">
      <c r="A52" s="41" t="s">
        <v>41</v>
      </c>
      <c r="B52" s="42"/>
    </row>
    <row r="53" spans="1:2">
      <c r="A53" s="41" t="s">
        <v>251</v>
      </c>
      <c r="B53" s="42">
        <v>975</v>
      </c>
    </row>
    <row r="54" spans="1:2">
      <c r="A54" s="41" t="s">
        <v>252</v>
      </c>
      <c r="B54" s="42"/>
    </row>
    <row r="55" spans="1:2">
      <c r="A55" s="41" t="s">
        <v>145</v>
      </c>
      <c r="B55" s="42">
        <v>900</v>
      </c>
    </row>
    <row r="56" spans="1:2">
      <c r="A56" s="41" t="s">
        <v>258</v>
      </c>
      <c r="B56" s="42"/>
    </row>
    <row r="57" spans="1:2">
      <c r="A57" s="41" t="s">
        <v>324</v>
      </c>
      <c r="B57" s="42">
        <v>825</v>
      </c>
    </row>
    <row r="58" spans="1:2">
      <c r="A58" s="41" t="s">
        <v>325</v>
      </c>
      <c r="B58" s="42"/>
    </row>
    <row r="59" spans="1:2">
      <c r="A59" s="41" t="s">
        <v>79</v>
      </c>
      <c r="B59" s="42">
        <v>300</v>
      </c>
    </row>
    <row r="60" spans="1:2">
      <c r="A60" s="41" t="s">
        <v>350</v>
      </c>
      <c r="B60" s="42"/>
    </row>
    <row r="61" spans="1:2">
      <c r="A61" s="41" t="s">
        <v>100</v>
      </c>
      <c r="B61" s="42">
        <v>300</v>
      </c>
    </row>
    <row r="62" spans="1:2">
      <c r="A62" s="41" t="s">
        <v>34</v>
      </c>
      <c r="B62" s="42"/>
    </row>
    <row r="63" spans="1:2">
      <c r="A63" s="41" t="s">
        <v>185</v>
      </c>
      <c r="B63" s="42">
        <v>300</v>
      </c>
    </row>
    <row r="64" spans="1:2">
      <c r="A64" s="41" t="s">
        <v>229</v>
      </c>
      <c r="B64" s="42"/>
    </row>
    <row r="65" spans="1:4">
      <c r="A65" s="41" t="s">
        <v>230</v>
      </c>
      <c r="B65" s="42">
        <v>150</v>
      </c>
    </row>
    <row r="66" spans="1:4">
      <c r="B66" s="11"/>
      <c r="D66" t="s">
        <v>72</v>
      </c>
    </row>
    <row r="67" spans="1:4">
      <c r="B67" s="29">
        <v>15000</v>
      </c>
      <c r="D67" s="14">
        <f>B67/12</f>
        <v>1250</v>
      </c>
    </row>
    <row r="68" spans="1:4">
      <c r="B68" s="11"/>
    </row>
    <row r="69" spans="1:4">
      <c r="A69" s="46" t="s">
        <v>80</v>
      </c>
      <c r="B69" s="30"/>
    </row>
    <row r="70" spans="1:4">
      <c r="A70" s="43" t="s">
        <v>198</v>
      </c>
      <c r="B70" s="44"/>
    </row>
    <row r="71" spans="1:4">
      <c r="A71" s="43" t="s">
        <v>199</v>
      </c>
      <c r="B71" s="44">
        <v>12500</v>
      </c>
    </row>
    <row r="72" spans="1:4">
      <c r="A72" s="43" t="s">
        <v>200</v>
      </c>
      <c r="B72" s="44"/>
    </row>
    <row r="73" spans="1:4">
      <c r="A73" s="43" t="s">
        <v>155</v>
      </c>
      <c r="B73" s="44">
        <v>2500</v>
      </c>
    </row>
    <row r="74" spans="1:4">
      <c r="A74" s="43" t="s">
        <v>5</v>
      </c>
      <c r="B74" s="44"/>
    </row>
    <row r="75" spans="1:4">
      <c r="A75" s="43" t="s">
        <v>191</v>
      </c>
      <c r="B75" s="44">
        <v>2000</v>
      </c>
    </row>
    <row r="76" spans="1:4">
      <c r="A76" s="43" t="s">
        <v>322</v>
      </c>
      <c r="B76" s="44"/>
    </row>
    <row r="77" spans="1:4">
      <c r="A77" s="43" t="s">
        <v>192</v>
      </c>
      <c r="B77" s="44">
        <v>1750</v>
      </c>
    </row>
    <row r="78" spans="1:4">
      <c r="A78" s="43" t="s">
        <v>41</v>
      </c>
      <c r="B78" s="44"/>
    </row>
    <row r="79" spans="1:4">
      <c r="A79" s="43" t="s">
        <v>251</v>
      </c>
      <c r="B79" s="44">
        <v>1625</v>
      </c>
    </row>
    <row r="80" spans="1:4">
      <c r="A80" s="43" t="s">
        <v>252</v>
      </c>
      <c r="B80" s="44"/>
    </row>
    <row r="81" spans="1:4">
      <c r="A81" s="43" t="s">
        <v>145</v>
      </c>
      <c r="B81" s="44">
        <v>1500</v>
      </c>
    </row>
    <row r="82" spans="1:4">
      <c r="A82" s="43" t="s">
        <v>258</v>
      </c>
      <c r="B82" s="44"/>
    </row>
    <row r="83" spans="1:4">
      <c r="A83" s="43" t="s">
        <v>324</v>
      </c>
      <c r="B83" s="44">
        <v>1375</v>
      </c>
    </row>
    <row r="84" spans="1:4">
      <c r="A84" s="43" t="s">
        <v>325</v>
      </c>
      <c r="B84" s="44"/>
    </row>
    <row r="85" spans="1:4">
      <c r="A85" s="43" t="s">
        <v>79</v>
      </c>
      <c r="B85" s="44">
        <v>500</v>
      </c>
    </row>
    <row r="86" spans="1:4">
      <c r="A86" s="43" t="s">
        <v>350</v>
      </c>
      <c r="B86" s="44"/>
    </row>
    <row r="87" spans="1:4">
      <c r="A87" s="43" t="s">
        <v>100</v>
      </c>
      <c r="B87" s="44">
        <v>500</v>
      </c>
    </row>
    <row r="88" spans="1:4">
      <c r="A88" s="43" t="s">
        <v>34</v>
      </c>
      <c r="B88" s="44"/>
    </row>
    <row r="89" spans="1:4">
      <c r="A89" s="43" t="s">
        <v>185</v>
      </c>
      <c r="B89" s="44">
        <v>500</v>
      </c>
    </row>
    <row r="90" spans="1:4">
      <c r="A90" s="43" t="s">
        <v>229</v>
      </c>
      <c r="B90" s="44"/>
    </row>
    <row r="91" spans="1:4">
      <c r="A91" s="43" t="s">
        <v>230</v>
      </c>
      <c r="B91" s="44">
        <v>250</v>
      </c>
    </row>
    <row r="92" spans="1:4">
      <c r="B92" s="11"/>
      <c r="D92" t="s">
        <v>72</v>
      </c>
    </row>
    <row r="93" spans="1:4">
      <c r="B93" s="29">
        <v>25000</v>
      </c>
      <c r="D93" s="14">
        <f>B93/12</f>
        <v>2083.3333333333335</v>
      </c>
    </row>
    <row r="94" spans="1:4">
      <c r="B94" s="11"/>
    </row>
    <row r="95" spans="1:4">
      <c r="B95" s="11"/>
    </row>
    <row r="96" spans="1:4">
      <c r="B96" s="11"/>
    </row>
    <row r="97" spans="1:2">
      <c r="B97" s="11"/>
    </row>
    <row r="98" spans="1:2">
      <c r="A98" t="s">
        <v>411</v>
      </c>
      <c r="B98" s="11"/>
    </row>
    <row r="99" spans="1:2">
      <c r="A99" t="s">
        <v>181</v>
      </c>
      <c r="B99" s="11"/>
    </row>
    <row r="100" spans="1:2">
      <c r="A100" t="s">
        <v>115</v>
      </c>
      <c r="B100" s="11"/>
    </row>
    <row r="101" spans="1:2">
      <c r="B101" s="11"/>
    </row>
    <row r="102" spans="1:2">
      <c r="B102" s="11"/>
    </row>
    <row r="103" spans="1:2">
      <c r="B103" s="11"/>
    </row>
    <row r="104" spans="1:2">
      <c r="B104" s="11"/>
    </row>
    <row r="105" spans="1:2">
      <c r="B105" s="11"/>
    </row>
    <row r="106" spans="1:2">
      <c r="B106" s="11"/>
    </row>
    <row r="107" spans="1:2">
      <c r="B107" s="11"/>
    </row>
    <row r="108" spans="1:2">
      <c r="B108" s="11"/>
    </row>
    <row r="109" spans="1:2">
      <c r="B109" s="11"/>
    </row>
    <row r="110" spans="1:2">
      <c r="B110" s="11"/>
    </row>
    <row r="111" spans="1:2">
      <c r="B111" s="11"/>
    </row>
    <row r="112" spans="1:2">
      <c r="B112" s="11"/>
    </row>
    <row r="113" spans="2:2">
      <c r="B113" s="11"/>
    </row>
  </sheetData>
  <sheetProtection password="C640" sheet="1" objects="1" scenarios="1"/>
  <phoneticPr fontId="2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H35" sqref="H35"/>
    </sheetView>
  </sheetViews>
  <sheetFormatPr baseColWidth="10" defaultRowHeight="13" x14ac:dyDescent="0"/>
  <cols>
    <col min="1" max="1" width="18.83203125" customWidth="1"/>
    <col min="3" max="3" width="17.6640625" customWidth="1"/>
  </cols>
  <sheetData>
    <row r="1" spans="1:9" ht="33">
      <c r="A1" s="27" t="s">
        <v>353</v>
      </c>
    </row>
    <row r="2" spans="1:9" ht="18">
      <c r="A2" s="363" t="s">
        <v>366</v>
      </c>
      <c r="B2" s="363"/>
      <c r="C2" s="363"/>
      <c r="D2" s="363"/>
      <c r="E2" s="363"/>
      <c r="F2" s="363"/>
      <c r="G2" s="363"/>
      <c r="H2" s="363"/>
      <c r="I2" s="363"/>
    </row>
    <row r="3" spans="1:9">
      <c r="A3" t="s">
        <v>234</v>
      </c>
    </row>
    <row r="5" spans="1:9">
      <c r="A5" t="s">
        <v>201</v>
      </c>
    </row>
    <row r="7" spans="1:9">
      <c r="A7" t="s">
        <v>236</v>
      </c>
    </row>
    <row r="9" spans="1:9">
      <c r="A9" t="s">
        <v>152</v>
      </c>
    </row>
    <row r="11" spans="1:9" ht="16">
      <c r="A11" s="12" t="s">
        <v>170</v>
      </c>
      <c r="B11" t="s">
        <v>180</v>
      </c>
      <c r="C11" s="11" t="s">
        <v>260</v>
      </c>
      <c r="D11" t="s">
        <v>123</v>
      </c>
      <c r="E11" t="s">
        <v>255</v>
      </c>
      <c r="F11" t="s">
        <v>254</v>
      </c>
      <c r="G11" s="11" t="s">
        <v>256</v>
      </c>
      <c r="H11" t="s">
        <v>316</v>
      </c>
      <c r="I11" t="s">
        <v>237</v>
      </c>
    </row>
    <row r="12" spans="1:9">
      <c r="A12" t="s">
        <v>235</v>
      </c>
      <c r="B12" s="14">
        <v>50</v>
      </c>
      <c r="C12" s="14">
        <v>40</v>
      </c>
      <c r="D12" s="14">
        <v>20</v>
      </c>
      <c r="E12" s="14">
        <v>10</v>
      </c>
      <c r="F12" s="14">
        <v>5</v>
      </c>
      <c r="G12" s="14">
        <v>5</v>
      </c>
      <c r="H12" s="14">
        <v>500</v>
      </c>
      <c r="I12" s="14">
        <v>5</v>
      </c>
    </row>
    <row r="13" spans="1:9">
      <c r="A13" t="s">
        <v>102</v>
      </c>
      <c r="B13" s="14">
        <v>50</v>
      </c>
      <c r="C13" s="14">
        <v>20</v>
      </c>
      <c r="D13" s="14">
        <v>20</v>
      </c>
      <c r="E13" s="14">
        <v>10</v>
      </c>
      <c r="F13" s="14">
        <v>5</v>
      </c>
      <c r="G13" s="14">
        <v>5</v>
      </c>
      <c r="H13" s="14">
        <v>450</v>
      </c>
      <c r="I13" s="14">
        <v>10</v>
      </c>
    </row>
    <row r="14" spans="1:9">
      <c r="A14" t="s">
        <v>103</v>
      </c>
      <c r="B14" s="14">
        <v>50</v>
      </c>
      <c r="C14" s="14">
        <v>25</v>
      </c>
      <c r="D14" s="14">
        <v>40</v>
      </c>
      <c r="E14" s="14">
        <v>15</v>
      </c>
      <c r="F14" s="14">
        <v>15</v>
      </c>
      <c r="G14" s="14">
        <v>15</v>
      </c>
      <c r="H14" s="14">
        <v>300</v>
      </c>
      <c r="I14" s="14">
        <v>20</v>
      </c>
    </row>
    <row r="15" spans="1:9">
      <c r="A15" t="s">
        <v>338</v>
      </c>
      <c r="B15" s="14">
        <v>50</v>
      </c>
      <c r="C15" s="14">
        <v>30</v>
      </c>
      <c r="D15" s="14">
        <v>60</v>
      </c>
      <c r="E15" s="14">
        <v>20</v>
      </c>
      <c r="F15" s="14">
        <v>20</v>
      </c>
      <c r="G15" s="14">
        <v>20</v>
      </c>
      <c r="H15" s="14">
        <v>300</v>
      </c>
      <c r="I15" s="14">
        <v>25</v>
      </c>
    </row>
    <row r="16" spans="1:9">
      <c r="A16" t="s">
        <v>339</v>
      </c>
      <c r="B16" s="14">
        <v>125</v>
      </c>
      <c r="C16" s="14">
        <v>40</v>
      </c>
      <c r="D16" s="14">
        <v>80</v>
      </c>
      <c r="E16" s="14">
        <v>35</v>
      </c>
      <c r="F16" s="14">
        <v>25</v>
      </c>
      <c r="G16" s="14">
        <v>30</v>
      </c>
      <c r="H16" s="14">
        <v>0</v>
      </c>
      <c r="I16" s="14">
        <v>35</v>
      </c>
    </row>
    <row r="18" spans="1:9">
      <c r="A18" t="s">
        <v>101</v>
      </c>
    </row>
    <row r="20" spans="1:9">
      <c r="A20" t="s">
        <v>206</v>
      </c>
      <c r="B20" t="s">
        <v>314</v>
      </c>
    </row>
    <row r="22" spans="1:9">
      <c r="A22" t="s">
        <v>66</v>
      </c>
    </row>
    <row r="25" spans="1:9" ht="18">
      <c r="A25" s="363" t="s">
        <v>367</v>
      </c>
      <c r="B25" s="363"/>
      <c r="C25" s="363"/>
      <c r="D25" s="363"/>
      <c r="E25" s="363"/>
      <c r="F25" s="363"/>
      <c r="G25" s="363"/>
      <c r="H25" s="363"/>
      <c r="I25" s="363"/>
    </row>
    <row r="27" spans="1:9">
      <c r="B27" t="s">
        <v>368</v>
      </c>
      <c r="C27" s="11" t="s">
        <v>207</v>
      </c>
      <c r="D27" t="s">
        <v>369</v>
      </c>
      <c r="E27" t="s">
        <v>208</v>
      </c>
      <c r="F27" t="s">
        <v>215</v>
      </c>
      <c r="G27" s="11" t="s">
        <v>209</v>
      </c>
      <c r="H27" t="s">
        <v>219</v>
      </c>
    </row>
    <row r="28" spans="1:9">
      <c r="A28" t="s">
        <v>210</v>
      </c>
      <c r="B28" s="14">
        <v>15</v>
      </c>
      <c r="C28" s="14">
        <v>0</v>
      </c>
      <c r="D28" s="14">
        <v>5</v>
      </c>
      <c r="E28" s="14">
        <v>5</v>
      </c>
      <c r="F28" s="14">
        <f t="shared" ref="F28:F33" si="0">SUM(B28:E28)</f>
        <v>25</v>
      </c>
      <c r="G28" s="14">
        <f>INFORMATION!F17</f>
        <v>1</v>
      </c>
      <c r="H28" s="14">
        <f t="shared" ref="H28:H33" si="1">F28*G28</f>
        <v>25</v>
      </c>
    </row>
    <row r="29" spans="1:9">
      <c r="A29" t="s">
        <v>211</v>
      </c>
      <c r="B29" s="14">
        <v>25</v>
      </c>
      <c r="C29" s="14">
        <v>0</v>
      </c>
      <c r="D29" s="14">
        <v>5</v>
      </c>
      <c r="E29" s="14">
        <v>10</v>
      </c>
      <c r="F29" s="14">
        <f t="shared" si="0"/>
        <v>40</v>
      </c>
      <c r="G29" s="14">
        <f>INFORMATION!F18</f>
        <v>0</v>
      </c>
      <c r="H29" s="14">
        <f t="shared" si="1"/>
        <v>0</v>
      </c>
    </row>
    <row r="30" spans="1:9">
      <c r="A30" t="s">
        <v>212</v>
      </c>
      <c r="B30" s="14">
        <v>5</v>
      </c>
      <c r="C30" s="14">
        <v>3</v>
      </c>
      <c r="D30" s="14">
        <v>0</v>
      </c>
      <c r="E30" s="14">
        <v>2</v>
      </c>
      <c r="F30" s="14">
        <f t="shared" si="0"/>
        <v>10</v>
      </c>
      <c r="G30" s="14">
        <f>INFORMATION!F19</f>
        <v>0</v>
      </c>
      <c r="H30" s="14">
        <f t="shared" si="1"/>
        <v>0</v>
      </c>
    </row>
    <row r="31" spans="1:9">
      <c r="A31" t="s">
        <v>213</v>
      </c>
      <c r="B31" s="14">
        <v>10</v>
      </c>
      <c r="C31" s="14">
        <v>3</v>
      </c>
      <c r="D31" s="14">
        <v>0</v>
      </c>
      <c r="E31" s="14">
        <v>3</v>
      </c>
      <c r="F31" s="14">
        <f t="shared" si="0"/>
        <v>16</v>
      </c>
      <c r="G31" s="14">
        <f>INFORMATION!F20</f>
        <v>0</v>
      </c>
      <c r="H31" s="14">
        <f t="shared" si="1"/>
        <v>0</v>
      </c>
    </row>
    <row r="32" spans="1:9">
      <c r="A32" t="s">
        <v>214</v>
      </c>
      <c r="B32" s="14">
        <v>12</v>
      </c>
      <c r="C32" s="14">
        <v>4</v>
      </c>
      <c r="D32" s="14">
        <v>1</v>
      </c>
      <c r="E32" s="14">
        <v>3</v>
      </c>
      <c r="F32" s="14">
        <f t="shared" si="0"/>
        <v>20</v>
      </c>
      <c r="G32" s="14">
        <f>INFORMATION!F21</f>
        <v>0</v>
      </c>
      <c r="H32" s="14">
        <f t="shared" si="1"/>
        <v>0</v>
      </c>
    </row>
    <row r="33" spans="1:8">
      <c r="A33" t="s">
        <v>218</v>
      </c>
      <c r="B33" s="14">
        <v>9</v>
      </c>
      <c r="C33" s="14">
        <v>3</v>
      </c>
      <c r="D33" s="14">
        <v>2</v>
      </c>
      <c r="E33" s="14">
        <v>3</v>
      </c>
      <c r="F33" s="14">
        <f t="shared" si="0"/>
        <v>17</v>
      </c>
      <c r="G33" s="14">
        <f>INFORMATION!F22</f>
        <v>0</v>
      </c>
      <c r="H33" s="14">
        <f t="shared" si="1"/>
        <v>0</v>
      </c>
    </row>
    <row r="35" spans="1:8">
      <c r="G35" s="176" t="s">
        <v>220</v>
      </c>
      <c r="H35" s="14">
        <f>SUM(H28:H33)</f>
        <v>25</v>
      </c>
    </row>
  </sheetData>
  <sheetProtection password="C640" sheet="1" objects="1" scenarios="1"/>
  <mergeCells count="2">
    <mergeCell ref="A25:I25"/>
    <mergeCell ref="A2:I2"/>
  </mergeCells>
  <phoneticPr fontId="2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workbookViewId="0">
      <selection activeCell="S26" sqref="S26"/>
    </sheetView>
  </sheetViews>
  <sheetFormatPr baseColWidth="10" defaultRowHeight="15" x14ac:dyDescent="0"/>
  <cols>
    <col min="1" max="1" width="10.83203125" style="5"/>
    <col min="2" max="2" width="8.5" style="5" customWidth="1"/>
    <col min="3" max="3" width="20.5" style="5" customWidth="1"/>
    <col min="4" max="4" width="12.5" style="5" customWidth="1"/>
    <col min="5" max="5" width="0.33203125" style="125" customWidth="1"/>
    <col min="6" max="6" width="2" style="5" customWidth="1"/>
    <col min="7" max="7" width="12.1640625" style="5" customWidth="1"/>
    <col min="8" max="8" width="1.6640625" style="5" customWidth="1"/>
    <col min="9" max="9" width="12.1640625" style="5" bestFit="1" customWidth="1"/>
    <col min="10" max="10" width="0.33203125" style="5" hidden="1" customWidth="1"/>
    <col min="11" max="11" width="2.5" style="5" customWidth="1"/>
    <col min="12" max="12" width="13.1640625" style="5" customWidth="1"/>
    <col min="13" max="13" width="2.83203125" style="5" customWidth="1"/>
    <col min="14" max="14" width="12.33203125" style="5" customWidth="1"/>
    <col min="15" max="15" width="10.83203125" style="5" hidden="1" customWidth="1"/>
    <col min="16" max="16" width="2" style="5" customWidth="1"/>
    <col min="17" max="17" width="13.33203125" style="5" customWidth="1"/>
    <col min="18" max="18" width="2.6640625" style="5" customWidth="1"/>
    <col min="19" max="19" width="10.5" style="5" customWidth="1"/>
    <col min="20" max="20" width="2.33203125" style="5" customWidth="1"/>
    <col min="21" max="21" width="10.83203125" style="5"/>
    <col min="22" max="22" width="2.5" style="5" customWidth="1"/>
    <col min="23" max="23" width="10.83203125" style="5"/>
    <col min="24" max="24" width="2.83203125" style="5" customWidth="1"/>
    <col min="25" max="16384" width="10.83203125" style="5"/>
  </cols>
  <sheetData>
    <row r="1" spans="1:25">
      <c r="M1" s="210"/>
      <c r="R1" s="210"/>
    </row>
    <row r="2" spans="1:25">
      <c r="A2" s="367" t="s">
        <v>205</v>
      </c>
      <c r="B2" s="368"/>
      <c r="C2" s="368"/>
      <c r="D2" s="388" t="s">
        <v>285</v>
      </c>
      <c r="E2" s="389"/>
      <c r="F2" s="389"/>
      <c r="G2" s="389"/>
      <c r="H2" s="216"/>
      <c r="I2" s="384" t="s">
        <v>370</v>
      </c>
      <c r="J2" s="385"/>
      <c r="K2" s="385"/>
      <c r="L2" s="386"/>
      <c r="M2" s="216"/>
      <c r="N2" s="384" t="s">
        <v>371</v>
      </c>
      <c r="O2" s="385"/>
      <c r="P2" s="385"/>
      <c r="Q2" s="386"/>
      <c r="R2" s="216"/>
      <c r="S2" s="387" t="s">
        <v>405</v>
      </c>
      <c r="T2" s="385"/>
      <c r="U2" s="386"/>
      <c r="V2" s="69"/>
      <c r="W2" s="364" t="s">
        <v>354</v>
      </c>
      <c r="X2" s="364"/>
      <c r="Y2" s="364"/>
    </row>
    <row r="3" spans="1:25" ht="6" customHeight="1">
      <c r="A3" s="69"/>
      <c r="B3" s="69"/>
      <c r="C3" s="69"/>
      <c r="D3" s="390"/>
      <c r="E3" s="391"/>
      <c r="F3" s="390"/>
      <c r="G3" s="390"/>
      <c r="H3" s="216"/>
      <c r="I3" s="217"/>
      <c r="J3" s="217"/>
      <c r="K3" s="217"/>
      <c r="L3" s="217"/>
      <c r="M3" s="216"/>
      <c r="N3" s="217"/>
      <c r="O3" s="217"/>
      <c r="P3" s="217"/>
      <c r="Q3" s="217"/>
      <c r="R3" s="216"/>
      <c r="S3" s="217"/>
      <c r="T3" s="217"/>
      <c r="U3" s="217"/>
      <c r="V3" s="69"/>
      <c r="W3" s="217"/>
      <c r="X3" s="217"/>
      <c r="Y3" s="217"/>
    </row>
    <row r="4" spans="1:25" ht="15" customHeight="1">
      <c r="A4" s="365" t="s">
        <v>106</v>
      </c>
      <c r="B4" s="365"/>
      <c r="C4" s="366"/>
      <c r="D4" s="218">
        <f>E4+10000</f>
        <v>110000</v>
      </c>
      <c r="E4" s="218">
        <v>100000</v>
      </c>
      <c r="F4" s="219" t="s">
        <v>169</v>
      </c>
      <c r="G4" s="218">
        <f>E4-5000</f>
        <v>95000</v>
      </c>
      <c r="H4" s="216" t="s">
        <v>170</v>
      </c>
      <c r="I4" s="218">
        <f t="shared" ref="I4:I20" si="0">D4/12</f>
        <v>9166.6666666666661</v>
      </c>
      <c r="J4" s="218">
        <f t="shared" ref="J4:J20" si="1">E4</f>
        <v>100000</v>
      </c>
      <c r="K4" s="218" t="str">
        <f t="shared" ref="K4:K20" si="2">F4</f>
        <v>-</v>
      </c>
      <c r="L4" s="236">
        <f t="shared" ref="L4:L20" si="3">G4/12</f>
        <v>7916.666666666667</v>
      </c>
      <c r="M4" s="216"/>
      <c r="N4" s="218">
        <f t="shared" ref="N4:N20" si="4">W4*2</f>
        <v>6600</v>
      </c>
      <c r="O4" s="218">
        <f t="shared" ref="O4:O14" si="5">I4</f>
        <v>9166.6666666666661</v>
      </c>
      <c r="P4" s="218" t="s">
        <v>372</v>
      </c>
      <c r="Q4" s="236">
        <f t="shared" ref="Q4:Q20" si="6">Y4*2</f>
        <v>5700</v>
      </c>
      <c r="R4" s="216"/>
      <c r="S4" s="218">
        <f t="shared" ref="S4:S20" si="7">I4/2</f>
        <v>4583.333333333333</v>
      </c>
      <c r="T4" s="218" t="str">
        <f t="shared" ref="T4:T20" si="8">K4</f>
        <v>-</v>
      </c>
      <c r="U4" s="218">
        <f t="shared" ref="U4:U20" si="9">L4/2</f>
        <v>3958.3333333333335</v>
      </c>
      <c r="V4" s="69"/>
      <c r="W4" s="218">
        <f t="shared" ref="W4:W20" si="10">S4-(S4*0.28)</f>
        <v>3300</v>
      </c>
      <c r="X4" s="218" t="s">
        <v>227</v>
      </c>
      <c r="Y4" s="218">
        <f t="shared" ref="Y4:Y20" si="11">U4-(U4*0.28)</f>
        <v>2850</v>
      </c>
    </row>
    <row r="5" spans="1:25" ht="15" customHeight="1">
      <c r="A5" s="365" t="s">
        <v>17</v>
      </c>
      <c r="B5" s="365"/>
      <c r="C5" s="366"/>
      <c r="D5" s="220">
        <f t="shared" ref="D5:D19" si="12">E5+5000</f>
        <v>75000</v>
      </c>
      <c r="E5" s="220">
        <v>70000</v>
      </c>
      <c r="F5" s="221" t="s">
        <v>169</v>
      </c>
      <c r="G5" s="220">
        <f t="shared" ref="G5:G19" si="13">E5-5000</f>
        <v>65000</v>
      </c>
      <c r="H5" s="216"/>
      <c r="I5" s="220">
        <f t="shared" si="0"/>
        <v>6250</v>
      </c>
      <c r="J5" s="220">
        <f t="shared" si="1"/>
        <v>70000</v>
      </c>
      <c r="K5" s="220" t="str">
        <f t="shared" si="2"/>
        <v>-</v>
      </c>
      <c r="L5" s="237">
        <f t="shared" si="3"/>
        <v>5416.666666666667</v>
      </c>
      <c r="M5" s="216"/>
      <c r="N5" s="220">
        <f t="shared" si="4"/>
        <v>4500</v>
      </c>
      <c r="O5" s="220">
        <f t="shared" si="5"/>
        <v>6250</v>
      </c>
      <c r="P5" s="220" t="s">
        <v>372</v>
      </c>
      <c r="Q5" s="237">
        <f t="shared" si="6"/>
        <v>3900</v>
      </c>
      <c r="R5" s="216"/>
      <c r="S5" s="220">
        <f t="shared" si="7"/>
        <v>3125</v>
      </c>
      <c r="T5" s="220" t="str">
        <f t="shared" si="8"/>
        <v>-</v>
      </c>
      <c r="U5" s="220">
        <f t="shared" si="9"/>
        <v>2708.3333333333335</v>
      </c>
      <c r="V5" s="69"/>
      <c r="W5" s="220">
        <f t="shared" si="10"/>
        <v>2250</v>
      </c>
      <c r="X5" s="220" t="s">
        <v>227</v>
      </c>
      <c r="Y5" s="220">
        <f t="shared" si="11"/>
        <v>1950</v>
      </c>
    </row>
    <row r="6" spans="1:25" ht="15" customHeight="1">
      <c r="A6" s="69"/>
      <c r="B6" s="369" t="s">
        <v>21</v>
      </c>
      <c r="C6" s="370"/>
      <c r="D6" s="222">
        <f t="shared" si="12"/>
        <v>60000</v>
      </c>
      <c r="E6" s="223">
        <v>55000</v>
      </c>
      <c r="F6" s="224" t="s">
        <v>169</v>
      </c>
      <c r="G6" s="223">
        <f t="shared" si="13"/>
        <v>50000</v>
      </c>
      <c r="H6" s="216"/>
      <c r="I6" s="223">
        <f t="shared" si="0"/>
        <v>5000</v>
      </c>
      <c r="J6" s="223">
        <f t="shared" si="1"/>
        <v>55000</v>
      </c>
      <c r="K6" s="223" t="str">
        <f t="shared" si="2"/>
        <v>-</v>
      </c>
      <c r="L6" s="238">
        <f t="shared" si="3"/>
        <v>4166.666666666667</v>
      </c>
      <c r="M6" s="216"/>
      <c r="N6" s="222">
        <f t="shared" si="4"/>
        <v>3600</v>
      </c>
      <c r="O6" s="222">
        <f t="shared" si="5"/>
        <v>5000</v>
      </c>
      <c r="P6" s="222" t="s">
        <v>372</v>
      </c>
      <c r="Q6" s="239">
        <f t="shared" si="6"/>
        <v>3000</v>
      </c>
      <c r="R6" s="216"/>
      <c r="S6" s="223">
        <f t="shared" si="7"/>
        <v>2500</v>
      </c>
      <c r="T6" s="223" t="str">
        <f t="shared" si="8"/>
        <v>-</v>
      </c>
      <c r="U6" s="223">
        <f t="shared" si="9"/>
        <v>2083.3333333333335</v>
      </c>
      <c r="V6" s="69"/>
      <c r="W6" s="223">
        <f t="shared" si="10"/>
        <v>1800</v>
      </c>
      <c r="X6" s="223" t="s">
        <v>227</v>
      </c>
      <c r="Y6" s="223">
        <f t="shared" si="11"/>
        <v>1500</v>
      </c>
    </row>
    <row r="7" spans="1:25" ht="15" customHeight="1">
      <c r="A7" s="69"/>
      <c r="B7" s="369" t="s">
        <v>223</v>
      </c>
      <c r="C7" s="369"/>
      <c r="D7" s="222">
        <v>30000</v>
      </c>
      <c r="E7" s="223">
        <v>35000</v>
      </c>
      <c r="F7" s="224" t="s">
        <v>169</v>
      </c>
      <c r="G7" s="223">
        <v>24000</v>
      </c>
      <c r="H7" s="216"/>
      <c r="I7" s="223">
        <f t="shared" si="0"/>
        <v>2500</v>
      </c>
      <c r="J7" s="223">
        <f t="shared" si="1"/>
        <v>35000</v>
      </c>
      <c r="K7" s="223" t="str">
        <f t="shared" si="2"/>
        <v>-</v>
      </c>
      <c r="L7" s="238">
        <f t="shared" si="3"/>
        <v>2000</v>
      </c>
      <c r="M7" s="216"/>
      <c r="N7" s="222">
        <f t="shared" si="4"/>
        <v>1800</v>
      </c>
      <c r="O7" s="222">
        <f t="shared" si="5"/>
        <v>2500</v>
      </c>
      <c r="P7" s="222" t="s">
        <v>372</v>
      </c>
      <c r="Q7" s="239">
        <f t="shared" si="6"/>
        <v>1440</v>
      </c>
      <c r="R7" s="216"/>
      <c r="S7" s="223">
        <f t="shared" si="7"/>
        <v>1250</v>
      </c>
      <c r="T7" s="223" t="str">
        <f t="shared" si="8"/>
        <v>-</v>
      </c>
      <c r="U7" s="223">
        <f t="shared" si="9"/>
        <v>1000</v>
      </c>
      <c r="V7" s="69"/>
      <c r="W7" s="223">
        <f t="shared" si="10"/>
        <v>900</v>
      </c>
      <c r="X7" s="223" t="s">
        <v>227</v>
      </c>
      <c r="Y7" s="223">
        <f t="shared" si="11"/>
        <v>720</v>
      </c>
    </row>
    <row r="8" spans="1:25" ht="15" customHeight="1">
      <c r="A8" s="69"/>
      <c r="B8" s="371" t="s">
        <v>18</v>
      </c>
      <c r="C8" s="372"/>
      <c r="D8" s="220">
        <f t="shared" si="12"/>
        <v>75000</v>
      </c>
      <c r="E8" s="220">
        <v>70000</v>
      </c>
      <c r="F8" s="221" t="s">
        <v>169</v>
      </c>
      <c r="G8" s="220">
        <f t="shared" si="13"/>
        <v>65000</v>
      </c>
      <c r="H8" s="216"/>
      <c r="I8" s="220">
        <f t="shared" si="0"/>
        <v>6250</v>
      </c>
      <c r="J8" s="220">
        <f t="shared" si="1"/>
        <v>70000</v>
      </c>
      <c r="K8" s="220" t="str">
        <f t="shared" si="2"/>
        <v>-</v>
      </c>
      <c r="L8" s="237">
        <f t="shared" si="3"/>
        <v>5416.666666666667</v>
      </c>
      <c r="M8" s="216"/>
      <c r="N8" s="220">
        <f t="shared" si="4"/>
        <v>4500</v>
      </c>
      <c r="O8" s="220">
        <f t="shared" si="5"/>
        <v>6250</v>
      </c>
      <c r="P8" s="220" t="s">
        <v>372</v>
      </c>
      <c r="Q8" s="237">
        <f t="shared" si="6"/>
        <v>3900</v>
      </c>
      <c r="R8" s="216"/>
      <c r="S8" s="220">
        <f t="shared" si="7"/>
        <v>3125</v>
      </c>
      <c r="T8" s="220" t="str">
        <f t="shared" si="8"/>
        <v>-</v>
      </c>
      <c r="U8" s="220">
        <f t="shared" si="9"/>
        <v>2708.3333333333335</v>
      </c>
      <c r="V8" s="69"/>
      <c r="W8" s="220">
        <f t="shared" si="10"/>
        <v>2250</v>
      </c>
      <c r="X8" s="220" t="s">
        <v>227</v>
      </c>
      <c r="Y8" s="220">
        <f t="shared" si="11"/>
        <v>1950</v>
      </c>
    </row>
    <row r="9" spans="1:25" ht="15" customHeight="1">
      <c r="A9" s="69"/>
      <c r="B9" s="369" t="s">
        <v>19</v>
      </c>
      <c r="C9" s="369"/>
      <c r="D9" s="222">
        <f t="shared" si="12"/>
        <v>60000</v>
      </c>
      <c r="E9" s="223">
        <v>55000</v>
      </c>
      <c r="F9" s="224" t="s">
        <v>169</v>
      </c>
      <c r="G9" s="223">
        <f t="shared" si="13"/>
        <v>50000</v>
      </c>
      <c r="H9" s="216"/>
      <c r="I9" s="223">
        <f t="shared" si="0"/>
        <v>5000</v>
      </c>
      <c r="J9" s="223">
        <f t="shared" si="1"/>
        <v>55000</v>
      </c>
      <c r="K9" s="223" t="str">
        <f t="shared" si="2"/>
        <v>-</v>
      </c>
      <c r="L9" s="238">
        <f t="shared" si="3"/>
        <v>4166.666666666667</v>
      </c>
      <c r="M9" s="216"/>
      <c r="N9" s="222">
        <f t="shared" si="4"/>
        <v>3600</v>
      </c>
      <c r="O9" s="222">
        <f t="shared" si="5"/>
        <v>5000</v>
      </c>
      <c r="P9" s="222" t="s">
        <v>372</v>
      </c>
      <c r="Q9" s="239">
        <f t="shared" si="6"/>
        <v>3000</v>
      </c>
      <c r="R9" s="216"/>
      <c r="S9" s="223">
        <f t="shared" si="7"/>
        <v>2500</v>
      </c>
      <c r="T9" s="223" t="str">
        <f t="shared" si="8"/>
        <v>-</v>
      </c>
      <c r="U9" s="223">
        <f t="shared" si="9"/>
        <v>2083.3333333333335</v>
      </c>
      <c r="V9" s="69"/>
      <c r="W9" s="223">
        <f t="shared" si="10"/>
        <v>1800</v>
      </c>
      <c r="X9" s="223" t="s">
        <v>227</v>
      </c>
      <c r="Y9" s="223">
        <f t="shared" si="11"/>
        <v>1500</v>
      </c>
    </row>
    <row r="10" spans="1:25" ht="15" customHeight="1">
      <c r="A10" s="69"/>
      <c r="B10" s="369" t="s">
        <v>20</v>
      </c>
      <c r="C10" s="369"/>
      <c r="D10" s="222">
        <f>E10+5000</f>
        <v>60001</v>
      </c>
      <c r="E10" s="223">
        <v>55001</v>
      </c>
      <c r="F10" s="224" t="s">
        <v>169</v>
      </c>
      <c r="G10" s="223">
        <f>E10-5000</f>
        <v>50001</v>
      </c>
      <c r="H10" s="216"/>
      <c r="I10" s="223">
        <f t="shared" si="0"/>
        <v>5000.083333333333</v>
      </c>
      <c r="J10" s="223">
        <f t="shared" si="1"/>
        <v>55001</v>
      </c>
      <c r="K10" s="223" t="str">
        <f t="shared" si="2"/>
        <v>-</v>
      </c>
      <c r="L10" s="238">
        <f t="shared" si="3"/>
        <v>4166.75</v>
      </c>
      <c r="M10" s="216"/>
      <c r="N10" s="222">
        <f t="shared" si="4"/>
        <v>3600.0599999999995</v>
      </c>
      <c r="O10" s="222">
        <f t="shared" si="5"/>
        <v>5000.083333333333</v>
      </c>
      <c r="P10" s="222" t="s">
        <v>372</v>
      </c>
      <c r="Q10" s="239">
        <f t="shared" si="6"/>
        <v>3000.06</v>
      </c>
      <c r="R10" s="216"/>
      <c r="S10" s="223">
        <f t="shared" si="7"/>
        <v>2500.0416666666665</v>
      </c>
      <c r="T10" s="223" t="str">
        <f t="shared" si="8"/>
        <v>-</v>
      </c>
      <c r="U10" s="223">
        <f t="shared" si="9"/>
        <v>2083.375</v>
      </c>
      <c r="V10" s="69"/>
      <c r="W10" s="223">
        <f t="shared" si="10"/>
        <v>1800.0299999999997</v>
      </c>
      <c r="X10" s="223" t="s">
        <v>227</v>
      </c>
      <c r="Y10" s="223">
        <f t="shared" si="11"/>
        <v>1500.03</v>
      </c>
    </row>
    <row r="11" spans="1:25" ht="15" customHeight="1">
      <c r="A11" s="69"/>
      <c r="B11" s="369" t="s">
        <v>22</v>
      </c>
      <c r="C11" s="369"/>
      <c r="D11" s="222">
        <v>30000</v>
      </c>
      <c r="E11" s="223">
        <v>35000</v>
      </c>
      <c r="F11" s="224" t="s">
        <v>169</v>
      </c>
      <c r="G11" s="223">
        <v>24000</v>
      </c>
      <c r="H11" s="216"/>
      <c r="I11" s="223">
        <f t="shared" si="0"/>
        <v>2500</v>
      </c>
      <c r="J11" s="223">
        <f t="shared" si="1"/>
        <v>35000</v>
      </c>
      <c r="K11" s="223" t="str">
        <f t="shared" si="2"/>
        <v>-</v>
      </c>
      <c r="L11" s="238">
        <f t="shared" si="3"/>
        <v>2000</v>
      </c>
      <c r="M11" s="216"/>
      <c r="N11" s="222">
        <f t="shared" si="4"/>
        <v>1800</v>
      </c>
      <c r="O11" s="222">
        <f t="shared" si="5"/>
        <v>2500</v>
      </c>
      <c r="P11" s="222" t="s">
        <v>372</v>
      </c>
      <c r="Q11" s="239">
        <f t="shared" si="6"/>
        <v>1440</v>
      </c>
      <c r="R11" s="216"/>
      <c r="S11" s="223">
        <f t="shared" si="7"/>
        <v>1250</v>
      </c>
      <c r="T11" s="223" t="str">
        <f t="shared" si="8"/>
        <v>-</v>
      </c>
      <c r="U11" s="223">
        <f t="shared" si="9"/>
        <v>1000</v>
      </c>
      <c r="V11" s="69"/>
      <c r="W11" s="223">
        <f t="shared" si="10"/>
        <v>900</v>
      </c>
      <c r="X11" s="223" t="s">
        <v>227</v>
      </c>
      <c r="Y11" s="223">
        <f t="shared" si="11"/>
        <v>720</v>
      </c>
    </row>
    <row r="12" spans="1:25" ht="15" customHeight="1">
      <c r="A12" s="365" t="s">
        <v>105</v>
      </c>
      <c r="B12" s="365"/>
      <c r="C12" s="365"/>
      <c r="D12" s="218">
        <f>E12+10000</f>
        <v>110000</v>
      </c>
      <c r="E12" s="218">
        <v>100000</v>
      </c>
      <c r="F12" s="219" t="s">
        <v>169</v>
      </c>
      <c r="G12" s="218">
        <f>E12-5000</f>
        <v>95000</v>
      </c>
      <c r="H12" s="216"/>
      <c r="I12" s="218">
        <f t="shared" si="0"/>
        <v>9166.6666666666661</v>
      </c>
      <c r="J12" s="218">
        <f t="shared" si="1"/>
        <v>100000</v>
      </c>
      <c r="K12" s="218" t="str">
        <f t="shared" si="2"/>
        <v>-</v>
      </c>
      <c r="L12" s="236">
        <f t="shared" si="3"/>
        <v>7916.666666666667</v>
      </c>
      <c r="M12" s="216"/>
      <c r="N12" s="218">
        <f t="shared" si="4"/>
        <v>6600</v>
      </c>
      <c r="O12" s="218">
        <f t="shared" si="5"/>
        <v>9166.6666666666661</v>
      </c>
      <c r="P12" s="218" t="s">
        <v>372</v>
      </c>
      <c r="Q12" s="236">
        <f t="shared" si="6"/>
        <v>5700</v>
      </c>
      <c r="R12" s="216"/>
      <c r="S12" s="218">
        <f t="shared" si="7"/>
        <v>4583.333333333333</v>
      </c>
      <c r="T12" s="218" t="str">
        <f t="shared" si="8"/>
        <v>-</v>
      </c>
      <c r="U12" s="218">
        <f t="shared" si="9"/>
        <v>3958.3333333333335</v>
      </c>
      <c r="V12" s="69"/>
      <c r="W12" s="218">
        <f t="shared" si="10"/>
        <v>3300</v>
      </c>
      <c r="X12" s="218" t="s">
        <v>227</v>
      </c>
      <c r="Y12" s="218">
        <f t="shared" si="11"/>
        <v>2850</v>
      </c>
    </row>
    <row r="13" spans="1:25" ht="15" customHeight="1">
      <c r="A13" s="69"/>
      <c r="B13" s="371" t="s">
        <v>23</v>
      </c>
      <c r="C13" s="372"/>
      <c r="D13" s="220">
        <f>E13+5000</f>
        <v>75000</v>
      </c>
      <c r="E13" s="220">
        <v>70000</v>
      </c>
      <c r="F13" s="221" t="s">
        <v>169</v>
      </c>
      <c r="G13" s="220">
        <f>E13-5000</f>
        <v>65000</v>
      </c>
      <c r="H13" s="216"/>
      <c r="I13" s="220">
        <f t="shared" si="0"/>
        <v>6250</v>
      </c>
      <c r="J13" s="220">
        <f t="shared" si="1"/>
        <v>70000</v>
      </c>
      <c r="K13" s="220" t="str">
        <f t="shared" si="2"/>
        <v>-</v>
      </c>
      <c r="L13" s="237">
        <f t="shared" si="3"/>
        <v>5416.666666666667</v>
      </c>
      <c r="M13" s="216"/>
      <c r="N13" s="220">
        <f t="shared" si="4"/>
        <v>4500</v>
      </c>
      <c r="O13" s="220">
        <f t="shared" si="5"/>
        <v>6250</v>
      </c>
      <c r="P13" s="220" t="s">
        <v>372</v>
      </c>
      <c r="Q13" s="237">
        <f t="shared" si="6"/>
        <v>3900</v>
      </c>
      <c r="R13" s="216"/>
      <c r="S13" s="220">
        <f t="shared" si="7"/>
        <v>3125</v>
      </c>
      <c r="T13" s="220" t="str">
        <f t="shared" si="8"/>
        <v>-</v>
      </c>
      <c r="U13" s="220">
        <f t="shared" si="9"/>
        <v>2708.3333333333335</v>
      </c>
      <c r="V13" s="69"/>
      <c r="W13" s="220">
        <f t="shared" si="10"/>
        <v>2250</v>
      </c>
      <c r="X13" s="220" t="s">
        <v>227</v>
      </c>
      <c r="Y13" s="220">
        <f t="shared" si="11"/>
        <v>1950</v>
      </c>
    </row>
    <row r="14" spans="1:25" ht="15" customHeight="1">
      <c r="A14" s="69"/>
      <c r="B14" s="369" t="s">
        <v>224</v>
      </c>
      <c r="C14" s="369"/>
      <c r="D14" s="222">
        <v>30000</v>
      </c>
      <c r="E14" s="223">
        <v>35000</v>
      </c>
      <c r="F14" s="224" t="s">
        <v>169</v>
      </c>
      <c r="G14" s="223">
        <v>24000</v>
      </c>
      <c r="H14" s="216"/>
      <c r="I14" s="223">
        <f t="shared" si="0"/>
        <v>2500</v>
      </c>
      <c r="J14" s="223">
        <f t="shared" si="1"/>
        <v>35000</v>
      </c>
      <c r="K14" s="223" t="str">
        <f t="shared" si="2"/>
        <v>-</v>
      </c>
      <c r="L14" s="238">
        <f t="shared" si="3"/>
        <v>2000</v>
      </c>
      <c r="M14" s="216"/>
      <c r="N14" s="222">
        <f t="shared" si="4"/>
        <v>1800</v>
      </c>
      <c r="O14" s="222">
        <f t="shared" si="5"/>
        <v>2500</v>
      </c>
      <c r="P14" s="222" t="s">
        <v>372</v>
      </c>
      <c r="Q14" s="239">
        <f t="shared" si="6"/>
        <v>1440</v>
      </c>
      <c r="R14" s="216"/>
      <c r="S14" s="223">
        <f t="shared" si="7"/>
        <v>1250</v>
      </c>
      <c r="T14" s="223" t="str">
        <f t="shared" si="8"/>
        <v>-</v>
      </c>
      <c r="U14" s="223">
        <f t="shared" si="9"/>
        <v>1000</v>
      </c>
      <c r="V14" s="69"/>
      <c r="W14" s="223">
        <f t="shared" si="10"/>
        <v>900</v>
      </c>
      <c r="X14" s="223" t="s">
        <v>227</v>
      </c>
      <c r="Y14" s="223">
        <f t="shared" si="11"/>
        <v>720</v>
      </c>
    </row>
    <row r="15" spans="1:25" ht="15" customHeight="1">
      <c r="A15" s="69"/>
      <c r="B15" s="371" t="s">
        <v>304</v>
      </c>
      <c r="C15" s="372"/>
      <c r="D15" s="220">
        <f t="shared" si="12"/>
        <v>75000</v>
      </c>
      <c r="E15" s="220">
        <v>70000</v>
      </c>
      <c r="F15" s="221" t="s">
        <v>169</v>
      </c>
      <c r="G15" s="220">
        <f t="shared" si="13"/>
        <v>65000</v>
      </c>
      <c r="H15" s="216"/>
      <c r="I15" s="220">
        <f t="shared" si="0"/>
        <v>6250</v>
      </c>
      <c r="J15" s="220">
        <f t="shared" si="1"/>
        <v>70000</v>
      </c>
      <c r="K15" s="220" t="str">
        <f t="shared" si="2"/>
        <v>-</v>
      </c>
      <c r="L15" s="237">
        <f t="shared" si="3"/>
        <v>5416.666666666667</v>
      </c>
      <c r="M15" s="216"/>
      <c r="N15" s="220">
        <f t="shared" si="4"/>
        <v>4500</v>
      </c>
      <c r="O15" s="220">
        <f t="shared" ref="O15:O20" si="14">I15</f>
        <v>6250</v>
      </c>
      <c r="P15" s="220" t="s">
        <v>372</v>
      </c>
      <c r="Q15" s="237">
        <f t="shared" si="6"/>
        <v>3900</v>
      </c>
      <c r="R15" s="216"/>
      <c r="S15" s="220">
        <f t="shared" si="7"/>
        <v>3125</v>
      </c>
      <c r="T15" s="220" t="str">
        <f t="shared" si="8"/>
        <v>-</v>
      </c>
      <c r="U15" s="220">
        <f t="shared" si="9"/>
        <v>2708.3333333333335</v>
      </c>
      <c r="V15" s="69"/>
      <c r="W15" s="220">
        <f t="shared" si="10"/>
        <v>2250</v>
      </c>
      <c r="X15" s="220" t="s">
        <v>227</v>
      </c>
      <c r="Y15" s="220">
        <f t="shared" si="11"/>
        <v>1950</v>
      </c>
    </row>
    <row r="16" spans="1:25" ht="15" customHeight="1">
      <c r="A16" s="69"/>
      <c r="B16" s="369" t="s">
        <v>104</v>
      </c>
      <c r="C16" s="369"/>
      <c r="D16" s="222">
        <f t="shared" si="12"/>
        <v>60000</v>
      </c>
      <c r="E16" s="223">
        <v>55000</v>
      </c>
      <c r="F16" s="224" t="s">
        <v>169</v>
      </c>
      <c r="G16" s="223">
        <f t="shared" si="13"/>
        <v>50000</v>
      </c>
      <c r="H16" s="216"/>
      <c r="I16" s="223">
        <f t="shared" si="0"/>
        <v>5000</v>
      </c>
      <c r="J16" s="223">
        <f t="shared" si="1"/>
        <v>55000</v>
      </c>
      <c r="K16" s="223" t="str">
        <f t="shared" si="2"/>
        <v>-</v>
      </c>
      <c r="L16" s="238">
        <f t="shared" si="3"/>
        <v>4166.666666666667</v>
      </c>
      <c r="M16" s="216"/>
      <c r="N16" s="222">
        <f t="shared" si="4"/>
        <v>3600</v>
      </c>
      <c r="O16" s="222">
        <f t="shared" si="14"/>
        <v>5000</v>
      </c>
      <c r="P16" s="222" t="s">
        <v>372</v>
      </c>
      <c r="Q16" s="239">
        <f t="shared" si="6"/>
        <v>3000</v>
      </c>
      <c r="R16" s="216"/>
      <c r="S16" s="223">
        <f t="shared" si="7"/>
        <v>2500</v>
      </c>
      <c r="T16" s="223" t="str">
        <f t="shared" si="8"/>
        <v>-</v>
      </c>
      <c r="U16" s="223">
        <f t="shared" si="9"/>
        <v>2083.3333333333335</v>
      </c>
      <c r="V16" s="69"/>
      <c r="W16" s="223">
        <f t="shared" si="10"/>
        <v>1800</v>
      </c>
      <c r="X16" s="223" t="s">
        <v>227</v>
      </c>
      <c r="Y16" s="223">
        <f t="shared" si="11"/>
        <v>1500</v>
      </c>
    </row>
    <row r="17" spans="1:25" ht="15" customHeight="1">
      <c r="A17" s="69"/>
      <c r="B17" s="369" t="s">
        <v>225</v>
      </c>
      <c r="C17" s="369"/>
      <c r="D17" s="222">
        <v>30000</v>
      </c>
      <c r="E17" s="223">
        <v>35000</v>
      </c>
      <c r="F17" s="224" t="s">
        <v>169</v>
      </c>
      <c r="G17" s="223">
        <v>24000</v>
      </c>
      <c r="H17" s="216"/>
      <c r="I17" s="223">
        <f t="shared" si="0"/>
        <v>2500</v>
      </c>
      <c r="J17" s="223">
        <f t="shared" si="1"/>
        <v>35000</v>
      </c>
      <c r="K17" s="223" t="str">
        <f t="shared" si="2"/>
        <v>-</v>
      </c>
      <c r="L17" s="238">
        <f t="shared" si="3"/>
        <v>2000</v>
      </c>
      <c r="M17" s="216"/>
      <c r="N17" s="222">
        <f t="shared" si="4"/>
        <v>1800</v>
      </c>
      <c r="O17" s="222">
        <f t="shared" si="14"/>
        <v>2500</v>
      </c>
      <c r="P17" s="222" t="s">
        <v>372</v>
      </c>
      <c r="Q17" s="239">
        <f t="shared" si="6"/>
        <v>1440</v>
      </c>
      <c r="R17" s="216"/>
      <c r="S17" s="223">
        <f t="shared" si="7"/>
        <v>1250</v>
      </c>
      <c r="T17" s="223" t="str">
        <f t="shared" si="8"/>
        <v>-</v>
      </c>
      <c r="U17" s="223">
        <f t="shared" si="9"/>
        <v>1000</v>
      </c>
      <c r="V17" s="69"/>
      <c r="W17" s="223">
        <f t="shared" si="10"/>
        <v>900</v>
      </c>
      <c r="X17" s="223" t="s">
        <v>227</v>
      </c>
      <c r="Y17" s="223">
        <f t="shared" si="11"/>
        <v>720</v>
      </c>
    </row>
    <row r="18" spans="1:25" ht="15" customHeight="1">
      <c r="A18" s="383" t="s">
        <v>349</v>
      </c>
      <c r="B18" s="383"/>
      <c r="C18" s="383"/>
      <c r="D18" s="218">
        <f t="shared" si="12"/>
        <v>80000</v>
      </c>
      <c r="E18" s="218">
        <v>75000</v>
      </c>
      <c r="F18" s="219" t="s">
        <v>169</v>
      </c>
      <c r="G18" s="218">
        <f t="shared" si="13"/>
        <v>70000</v>
      </c>
      <c r="H18" s="216"/>
      <c r="I18" s="218">
        <f t="shared" si="0"/>
        <v>6666.666666666667</v>
      </c>
      <c r="J18" s="218">
        <f t="shared" si="1"/>
        <v>75000</v>
      </c>
      <c r="K18" s="218" t="str">
        <f t="shared" si="2"/>
        <v>-</v>
      </c>
      <c r="L18" s="236">
        <f t="shared" si="3"/>
        <v>5833.333333333333</v>
      </c>
      <c r="M18" s="216"/>
      <c r="N18" s="218">
        <f t="shared" si="4"/>
        <v>4800</v>
      </c>
      <c r="O18" s="218">
        <f t="shared" si="14"/>
        <v>6666.666666666667</v>
      </c>
      <c r="P18" s="218" t="s">
        <v>372</v>
      </c>
      <c r="Q18" s="236">
        <f t="shared" si="6"/>
        <v>4200</v>
      </c>
      <c r="R18" s="216"/>
      <c r="S18" s="218">
        <f t="shared" si="7"/>
        <v>3333.3333333333335</v>
      </c>
      <c r="T18" s="218" t="str">
        <f t="shared" si="8"/>
        <v>-</v>
      </c>
      <c r="U18" s="218">
        <f t="shared" si="9"/>
        <v>2916.6666666666665</v>
      </c>
      <c r="V18" s="69"/>
      <c r="W18" s="218">
        <f t="shared" si="10"/>
        <v>2400</v>
      </c>
      <c r="X18" s="218" t="s">
        <v>227</v>
      </c>
      <c r="Y18" s="218">
        <f t="shared" si="11"/>
        <v>2100</v>
      </c>
    </row>
    <row r="19" spans="1:25" ht="15" customHeight="1">
      <c r="A19" s="69"/>
      <c r="B19" s="369" t="s">
        <v>25</v>
      </c>
      <c r="C19" s="369"/>
      <c r="D19" s="222">
        <f t="shared" si="12"/>
        <v>60000</v>
      </c>
      <c r="E19" s="223">
        <v>55000</v>
      </c>
      <c r="F19" s="224" t="s">
        <v>169</v>
      </c>
      <c r="G19" s="223">
        <f t="shared" si="13"/>
        <v>50000</v>
      </c>
      <c r="H19" s="216"/>
      <c r="I19" s="223">
        <f t="shared" si="0"/>
        <v>5000</v>
      </c>
      <c r="J19" s="223">
        <f t="shared" si="1"/>
        <v>55000</v>
      </c>
      <c r="K19" s="223" t="str">
        <f t="shared" si="2"/>
        <v>-</v>
      </c>
      <c r="L19" s="238">
        <f t="shared" si="3"/>
        <v>4166.666666666667</v>
      </c>
      <c r="M19" s="216"/>
      <c r="N19" s="222">
        <f t="shared" si="4"/>
        <v>3600</v>
      </c>
      <c r="O19" s="222">
        <f t="shared" si="14"/>
        <v>5000</v>
      </c>
      <c r="P19" s="222" t="s">
        <v>372</v>
      </c>
      <c r="Q19" s="239">
        <f t="shared" si="6"/>
        <v>3000</v>
      </c>
      <c r="R19" s="216"/>
      <c r="S19" s="223">
        <f t="shared" si="7"/>
        <v>2500</v>
      </c>
      <c r="T19" s="223" t="str">
        <f t="shared" si="8"/>
        <v>-</v>
      </c>
      <c r="U19" s="223">
        <f t="shared" si="9"/>
        <v>2083.3333333333335</v>
      </c>
      <c r="V19" s="69"/>
      <c r="W19" s="223">
        <f t="shared" si="10"/>
        <v>1800</v>
      </c>
      <c r="X19" s="223" t="s">
        <v>227</v>
      </c>
      <c r="Y19" s="223">
        <f t="shared" si="11"/>
        <v>1500</v>
      </c>
    </row>
    <row r="20" spans="1:25" ht="15" customHeight="1">
      <c r="A20" s="69"/>
      <c r="B20" s="369" t="s">
        <v>226</v>
      </c>
      <c r="C20" s="369"/>
      <c r="D20" s="222">
        <v>30000</v>
      </c>
      <c r="E20" s="223">
        <v>35000</v>
      </c>
      <c r="F20" s="224" t="s">
        <v>169</v>
      </c>
      <c r="G20" s="223">
        <v>24000</v>
      </c>
      <c r="H20" s="216"/>
      <c r="I20" s="223">
        <f t="shared" si="0"/>
        <v>2500</v>
      </c>
      <c r="J20" s="223">
        <f t="shared" si="1"/>
        <v>35000</v>
      </c>
      <c r="K20" s="223" t="str">
        <f t="shared" si="2"/>
        <v>-</v>
      </c>
      <c r="L20" s="238">
        <f t="shared" si="3"/>
        <v>2000</v>
      </c>
      <c r="M20" s="216"/>
      <c r="N20" s="222">
        <f t="shared" si="4"/>
        <v>1800</v>
      </c>
      <c r="O20" s="222">
        <f t="shared" si="14"/>
        <v>2500</v>
      </c>
      <c r="P20" s="222" t="s">
        <v>372</v>
      </c>
      <c r="Q20" s="239">
        <f t="shared" si="6"/>
        <v>1440</v>
      </c>
      <c r="R20" s="216"/>
      <c r="S20" s="223">
        <f t="shared" si="7"/>
        <v>1250</v>
      </c>
      <c r="T20" s="223" t="str">
        <f t="shared" si="8"/>
        <v>-</v>
      </c>
      <c r="U20" s="223">
        <f t="shared" si="9"/>
        <v>1000</v>
      </c>
      <c r="V20" s="69"/>
      <c r="W20" s="223">
        <f t="shared" si="10"/>
        <v>900</v>
      </c>
      <c r="X20" s="223" t="s">
        <v>227</v>
      </c>
      <c r="Y20" s="223">
        <f t="shared" si="11"/>
        <v>720</v>
      </c>
    </row>
    <row r="21" spans="1:25" ht="15" customHeight="1">
      <c r="A21" s="69"/>
      <c r="B21" s="382" t="s">
        <v>158</v>
      </c>
      <c r="C21" s="382"/>
      <c r="D21" s="234" t="s">
        <v>170</v>
      </c>
      <c r="E21" s="234"/>
      <c r="F21" s="235" t="s">
        <v>170</v>
      </c>
      <c r="G21" s="234" t="s">
        <v>170</v>
      </c>
      <c r="H21" s="235"/>
      <c r="I21" s="234"/>
      <c r="J21" s="234"/>
      <c r="K21" s="234"/>
      <c r="L21" s="234"/>
      <c r="M21" s="235"/>
      <c r="N21" s="234"/>
      <c r="O21" s="234"/>
      <c r="P21" s="234"/>
      <c r="Q21" s="234"/>
      <c r="R21" s="235"/>
      <c r="S21" s="234"/>
      <c r="T21" s="234"/>
      <c r="U21" s="234"/>
      <c r="V21" s="235"/>
      <c r="W21" s="234"/>
      <c r="X21" s="234"/>
      <c r="Y21" s="234"/>
    </row>
    <row r="22" spans="1:25" ht="15" customHeight="1">
      <c r="A22" s="69"/>
      <c r="B22" s="369" t="s">
        <v>284</v>
      </c>
      <c r="C22" s="369"/>
      <c r="D22" s="226">
        <f>E22+1500</f>
        <v>21500</v>
      </c>
      <c r="E22" s="226">
        <v>20000</v>
      </c>
      <c r="F22" s="227" t="s">
        <v>169</v>
      </c>
      <c r="G22" s="226">
        <f>E22-1500</f>
        <v>18500</v>
      </c>
      <c r="H22" s="216"/>
      <c r="I22" s="228">
        <f>D22/12</f>
        <v>1791.6666666666667</v>
      </c>
      <c r="J22" s="229">
        <f>E22</f>
        <v>20000</v>
      </c>
      <c r="K22" s="229" t="str">
        <f>F22</f>
        <v>-</v>
      </c>
      <c r="L22" s="230">
        <f>G22/12</f>
        <v>1541.6666666666667</v>
      </c>
      <c r="M22" s="216"/>
      <c r="N22" s="228">
        <f>W22*2</f>
        <v>1290</v>
      </c>
      <c r="O22" s="229">
        <f>I22</f>
        <v>1791.6666666666667</v>
      </c>
      <c r="P22" s="229" t="s">
        <v>373</v>
      </c>
      <c r="Q22" s="230">
        <f>Y22*2</f>
        <v>1110</v>
      </c>
      <c r="R22" s="216"/>
      <c r="S22" s="228">
        <f>I22/2</f>
        <v>895.83333333333337</v>
      </c>
      <c r="T22" s="229" t="str">
        <f>K22</f>
        <v>-</v>
      </c>
      <c r="U22" s="230">
        <f>L22/2</f>
        <v>770.83333333333337</v>
      </c>
      <c r="V22" s="69"/>
      <c r="W22" s="228">
        <f>S22-(S22*0.28)</f>
        <v>645</v>
      </c>
      <c r="X22" s="229" t="s">
        <v>227</v>
      </c>
      <c r="Y22" s="230">
        <f>U22-(U22*0.28)</f>
        <v>555</v>
      </c>
    </row>
    <row r="23" spans="1:25">
      <c r="A23" s="69"/>
      <c r="B23" s="69"/>
      <c r="C23" s="69"/>
      <c r="D23" s="69"/>
      <c r="E23" s="225"/>
      <c r="F23" s="69"/>
      <c r="G23" s="69"/>
      <c r="H23" s="69" t="s">
        <v>170</v>
      </c>
      <c r="I23" s="69"/>
      <c r="J23" s="69"/>
      <c r="K23" s="69"/>
      <c r="L23" s="69"/>
      <c r="M23" s="69"/>
      <c r="N23" s="69"/>
      <c r="O23" s="69"/>
      <c r="P23" s="69"/>
      <c r="Q23" s="69"/>
      <c r="R23" s="69"/>
    </row>
    <row r="24" spans="1:25" customFormat="1" ht="13">
      <c r="I24" s="373" t="s">
        <v>408</v>
      </c>
      <c r="J24" s="374"/>
      <c r="K24" s="374"/>
      <c r="L24" s="375"/>
      <c r="N24" s="373" t="s">
        <v>409</v>
      </c>
      <c r="O24" s="374"/>
      <c r="P24" s="374"/>
      <c r="Q24" s="375"/>
    </row>
    <row r="25" spans="1:25" customFormat="1" ht="13">
      <c r="I25" s="376"/>
      <c r="J25" s="377"/>
      <c r="K25" s="377"/>
      <c r="L25" s="378"/>
      <c r="N25" s="376"/>
      <c r="O25" s="377"/>
      <c r="P25" s="377"/>
      <c r="Q25" s="378"/>
    </row>
    <row r="26" spans="1:25" customFormat="1" ht="28" customHeight="1">
      <c r="I26" s="379"/>
      <c r="J26" s="380"/>
      <c r="K26" s="380"/>
      <c r="L26" s="381"/>
      <c r="N26" s="379"/>
      <c r="O26" s="380"/>
      <c r="P26" s="380"/>
      <c r="Q26" s="381"/>
    </row>
    <row r="27" spans="1:25" customFormat="1" ht="19" customHeight="1"/>
    <row r="28" spans="1:25" customFormat="1" ht="13"/>
    <row r="29" spans="1:25" customFormat="1" ht="13"/>
    <row r="30" spans="1:25" customFormat="1" ht="13"/>
    <row r="31" spans="1:25" customFormat="1" ht="13"/>
    <row r="32" spans="1:25" customFormat="1" ht="13"/>
    <row r="33" spans="1:18" customFormat="1" ht="13"/>
    <row r="34" spans="1:18" customFormat="1" ht="13"/>
    <row r="35" spans="1:18" customFormat="1" ht="13"/>
    <row r="36" spans="1:18" customFormat="1" ht="13"/>
    <row r="37" spans="1:18" customFormat="1" ht="13"/>
    <row r="38" spans="1:18" customFormat="1" ht="13"/>
    <row r="39" spans="1:18" customFormat="1" ht="13"/>
    <row r="40" spans="1:18" customFormat="1" ht="13"/>
    <row r="41" spans="1:18" customFormat="1" ht="13"/>
    <row r="42" spans="1:18" customFormat="1" ht="13"/>
    <row r="43" spans="1:18">
      <c r="A43" s="69"/>
      <c r="B43" s="69"/>
      <c r="C43" s="69"/>
      <c r="D43" s="69"/>
      <c r="E43" s="225"/>
      <c r="F43" s="69"/>
      <c r="G43" s="69"/>
      <c r="H43" s="69"/>
      <c r="R43" s="69"/>
    </row>
    <row r="44" spans="1:18">
      <c r="A44" s="69"/>
      <c r="B44" s="69"/>
      <c r="C44" s="69"/>
      <c r="D44" s="69"/>
      <c r="E44" s="225"/>
      <c r="F44" s="69"/>
      <c r="G44" s="69"/>
      <c r="H44" s="69"/>
      <c r="R44" s="69"/>
    </row>
    <row r="45" spans="1:18">
      <c r="A45" s="69"/>
      <c r="B45" s="69"/>
      <c r="C45" s="69"/>
      <c r="D45" s="69"/>
      <c r="E45" s="225"/>
      <c r="F45" s="69"/>
      <c r="G45" s="69"/>
      <c r="H45" s="69"/>
      <c r="R45" s="69"/>
    </row>
    <row r="46" spans="1:18">
      <c r="A46" s="69"/>
      <c r="B46" s="69"/>
      <c r="C46" s="69"/>
      <c r="D46" s="69"/>
      <c r="E46" s="225"/>
      <c r="F46" s="69"/>
      <c r="G46" s="69"/>
      <c r="H46" s="69"/>
      <c r="R46" s="69"/>
    </row>
    <row r="47" spans="1:18">
      <c r="A47" s="69"/>
      <c r="B47" s="69"/>
      <c r="C47" s="69"/>
      <c r="D47" s="69"/>
      <c r="E47" s="225"/>
      <c r="F47" s="69"/>
      <c r="G47" s="69"/>
      <c r="H47" s="69"/>
      <c r="R47" s="69"/>
    </row>
  </sheetData>
  <sheetProtection password="C640" sheet="1" objects="1" scenarios="1"/>
  <mergeCells count="28">
    <mergeCell ref="B15:C15"/>
    <mergeCell ref="N2:Q2"/>
    <mergeCell ref="I2:L2"/>
    <mergeCell ref="S2:U2"/>
    <mergeCell ref="D2:G2"/>
    <mergeCell ref="D3:G3"/>
    <mergeCell ref="N24:Q26"/>
    <mergeCell ref="I24:L26"/>
    <mergeCell ref="B21:C21"/>
    <mergeCell ref="B22:C22"/>
    <mergeCell ref="A18:C18"/>
    <mergeCell ref="B19:C19"/>
    <mergeCell ref="W2:Y2"/>
    <mergeCell ref="A4:C4"/>
    <mergeCell ref="A2:C2"/>
    <mergeCell ref="B7:C7"/>
    <mergeCell ref="B20:C20"/>
    <mergeCell ref="B6:C6"/>
    <mergeCell ref="B14:C14"/>
    <mergeCell ref="B16:C16"/>
    <mergeCell ref="B13:C13"/>
    <mergeCell ref="A12:C12"/>
    <mergeCell ref="B8:C8"/>
    <mergeCell ref="B11:C11"/>
    <mergeCell ref="B10:C10"/>
    <mergeCell ref="A5:C5"/>
    <mergeCell ref="B9:C9"/>
    <mergeCell ref="B17:C17"/>
  </mergeCells>
  <phoneticPr fontId="2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4"/>
  <sheetViews>
    <sheetView topLeftCell="A4" zoomScaleSheetLayoutView="100" workbookViewId="0">
      <selection activeCell="G18" sqref="G18"/>
    </sheetView>
  </sheetViews>
  <sheetFormatPr baseColWidth="10" defaultRowHeight="13" x14ac:dyDescent="0"/>
  <cols>
    <col min="1" max="1" width="12.33203125" style="52" customWidth="1"/>
    <col min="2" max="2" width="11" style="52" customWidth="1"/>
    <col min="3" max="3" width="21.83203125" style="83" customWidth="1"/>
    <col min="4" max="4" width="2.5" style="52" customWidth="1"/>
    <col min="5" max="6" width="10.83203125" style="52"/>
    <col min="7" max="7" width="19.1640625" style="83" customWidth="1"/>
    <col min="8" max="8" width="8" style="52" customWidth="1"/>
    <col min="9" max="9" width="11" style="52" customWidth="1"/>
    <col min="10" max="16384" width="10.83203125" style="52"/>
  </cols>
  <sheetData>
    <row r="1" spans="1:10" s="139" customFormat="1" ht="25">
      <c r="A1" s="139" t="s">
        <v>327</v>
      </c>
      <c r="C1" s="140"/>
      <c r="G1" s="140"/>
    </row>
    <row r="2" spans="1:10" s="141" customFormat="1" ht="16">
      <c r="C2" s="142"/>
      <c r="G2" s="142"/>
    </row>
    <row r="3" spans="1:10">
      <c r="A3" s="52" t="s">
        <v>143</v>
      </c>
      <c r="B3" s="392" t="str">
        <f>INFORMATION!B3</f>
        <v xml:space="preserve"> </v>
      </c>
      <c r="C3" s="312"/>
    </row>
    <row r="4" spans="1:10">
      <c r="C4" s="52"/>
      <c r="G4" s="52"/>
    </row>
    <row r="5" spans="1:10" ht="16">
      <c r="A5" s="398" t="s">
        <v>335</v>
      </c>
      <c r="B5" s="335"/>
      <c r="C5" s="335"/>
      <c r="D5" s="335"/>
      <c r="E5" s="335"/>
      <c r="F5" s="335"/>
      <c r="G5" s="335"/>
    </row>
    <row r="6" spans="1:10" ht="16">
      <c r="A6" s="84"/>
      <c r="B6" s="84"/>
      <c r="C6" s="169" t="s">
        <v>253</v>
      </c>
      <c r="D6" s="170"/>
      <c r="E6" s="170"/>
      <c r="F6" s="170"/>
      <c r="G6" s="171"/>
    </row>
    <row r="7" spans="1:10" ht="16">
      <c r="A7" s="85" t="s">
        <v>240</v>
      </c>
      <c r="B7" s="86"/>
      <c r="C7" s="92" t="s">
        <v>202</v>
      </c>
      <c r="E7" s="85" t="s">
        <v>40</v>
      </c>
      <c r="F7" s="86"/>
    </row>
    <row r="8" spans="1:10">
      <c r="A8" s="52" t="s">
        <v>336</v>
      </c>
      <c r="C8" s="143" t="str">
        <f>INFORMATION!B31</f>
        <v xml:space="preserve"> </v>
      </c>
      <c r="E8" s="52" t="s">
        <v>336</v>
      </c>
      <c r="G8" s="15" t="e">
        <f>INFORMATION!#REF!</f>
        <v>#REF!</v>
      </c>
    </row>
    <row r="9" spans="1:10">
      <c r="A9" s="52" t="s">
        <v>337</v>
      </c>
      <c r="C9" s="143" t="str">
        <f>INFORMATION!B32</f>
        <v xml:space="preserve"> </v>
      </c>
      <c r="E9" s="52" t="s">
        <v>135</v>
      </c>
      <c r="G9" s="15" t="e">
        <f>INFORMATION!#REF!</f>
        <v>#REF!</v>
      </c>
    </row>
    <row r="10" spans="1:10" s="87" customFormat="1">
      <c r="A10" s="87" t="s">
        <v>307</v>
      </c>
      <c r="C10" s="144">
        <f>INFORMATION!G31</f>
        <v>0</v>
      </c>
      <c r="E10" s="87" t="s">
        <v>307</v>
      </c>
      <c r="G10" s="145" t="e">
        <f>INFORMATION!#REF!</f>
        <v>#REF!</v>
      </c>
      <c r="H10" s="52"/>
      <c r="I10" s="52"/>
      <c r="J10" s="52"/>
    </row>
    <row r="11" spans="1:10" s="87" customFormat="1">
      <c r="A11" s="87" t="s">
        <v>288</v>
      </c>
      <c r="C11" s="144">
        <f>INFORMATION!C29</f>
        <v>1</v>
      </c>
      <c r="E11" s="87" t="s">
        <v>288</v>
      </c>
      <c r="G11" s="144" t="e">
        <f>INFORMATION!#REF!</f>
        <v>#REF!</v>
      </c>
      <c r="H11" s="52"/>
      <c r="I11" s="52"/>
      <c r="J11" s="52"/>
    </row>
    <row r="12" spans="1:10" s="87" customFormat="1">
      <c r="A12" s="87" t="s">
        <v>186</v>
      </c>
      <c r="C12" s="144">
        <f>INFORMATION!C28</f>
        <v>1</v>
      </c>
      <c r="E12" s="87" t="s">
        <v>186</v>
      </c>
      <c r="G12" s="144">
        <f>INFORMATION!C28</f>
        <v>1</v>
      </c>
      <c r="H12" s="52"/>
      <c r="I12" s="52"/>
      <c r="J12" s="52"/>
    </row>
    <row r="13" spans="1:10">
      <c r="A13" s="52" t="s">
        <v>57</v>
      </c>
      <c r="C13" s="168" t="s">
        <v>64</v>
      </c>
      <c r="E13" s="52" t="s">
        <v>56</v>
      </c>
      <c r="G13" s="168" t="s">
        <v>65</v>
      </c>
    </row>
    <row r="14" spans="1:10">
      <c r="A14" s="52" t="s">
        <v>231</v>
      </c>
      <c r="C14" s="15">
        <f>INFORMATION!G32</f>
        <v>0</v>
      </c>
      <c r="E14" s="52" t="s">
        <v>231</v>
      </c>
      <c r="G14" s="15">
        <f>INFORMATION!G32</f>
        <v>0</v>
      </c>
    </row>
    <row r="15" spans="1:10">
      <c r="A15" s="87" t="s">
        <v>204</v>
      </c>
      <c r="C15" s="17">
        <v>0</v>
      </c>
      <c r="G15" s="52"/>
    </row>
    <row r="16" spans="1:10">
      <c r="A16" s="87" t="s">
        <v>59</v>
      </c>
      <c r="C16" s="130">
        <f>INFORMATION!G27</f>
        <v>0</v>
      </c>
      <c r="E16" s="136" t="s">
        <v>47</v>
      </c>
      <c r="G16" s="135">
        <f>G14*0.02</f>
        <v>0</v>
      </c>
    </row>
    <row r="17" spans="1:10">
      <c r="A17" s="87" t="s">
        <v>290</v>
      </c>
      <c r="C17" s="15">
        <f>C16*0.00025</f>
        <v>0</v>
      </c>
      <c r="E17" s="52" t="s">
        <v>45</v>
      </c>
      <c r="G17" s="15">
        <f>((G14*0.03)+C21)/(G12+C12)</f>
        <v>0</v>
      </c>
    </row>
    <row r="18" spans="1:10">
      <c r="A18" s="87" t="s">
        <v>291</v>
      </c>
      <c r="C18" s="15">
        <f>C16*0.00017</f>
        <v>0</v>
      </c>
      <c r="E18" s="52" t="s">
        <v>46</v>
      </c>
      <c r="G18" s="15">
        <f>(G14/G12)</f>
        <v>0</v>
      </c>
    </row>
    <row r="19" spans="1:10">
      <c r="A19" s="87" t="s">
        <v>58</v>
      </c>
      <c r="C19" s="15">
        <f>C16*0.00015</f>
        <v>0</v>
      </c>
      <c r="G19" s="52"/>
    </row>
    <row r="20" spans="1:10">
      <c r="A20" s="52" t="s">
        <v>289</v>
      </c>
      <c r="C20" s="15">
        <f>C16*0.0003</f>
        <v>0</v>
      </c>
      <c r="E20" s="52" t="s">
        <v>74</v>
      </c>
      <c r="G20" s="15">
        <f>50/INFORMATION!C28</f>
        <v>50</v>
      </c>
    </row>
    <row r="21" spans="1:10">
      <c r="A21" s="52" t="s">
        <v>347</v>
      </c>
      <c r="C21" s="15">
        <f>(C17+C18+C19+C20)</f>
        <v>0</v>
      </c>
      <c r="E21" s="52" t="s">
        <v>136</v>
      </c>
      <c r="G21" s="15">
        <f>21/((C12+G12)/2)</f>
        <v>21</v>
      </c>
    </row>
    <row r="22" spans="1:10">
      <c r="A22" s="52" t="s">
        <v>81</v>
      </c>
      <c r="C22" s="143">
        <f>C21/C12</f>
        <v>0</v>
      </c>
      <c r="E22" s="52" t="s">
        <v>73</v>
      </c>
      <c r="G22" s="15">
        <f>50/INFORMATION!C28</f>
        <v>50</v>
      </c>
    </row>
    <row r="23" spans="1:10" ht="16">
      <c r="A23" s="85" t="s">
        <v>170</v>
      </c>
      <c r="B23" s="52" t="s">
        <v>180</v>
      </c>
      <c r="C23" s="83" t="s">
        <v>260</v>
      </c>
      <c r="E23" s="52" t="s">
        <v>255</v>
      </c>
      <c r="F23" s="52" t="s">
        <v>254</v>
      </c>
      <c r="G23" s="83" t="s">
        <v>256</v>
      </c>
    </row>
    <row r="24" spans="1:10">
      <c r="A24" s="52" t="s">
        <v>269</v>
      </c>
      <c r="B24" s="15">
        <f>IF($G$12=1,200, 0)</f>
        <v>200</v>
      </c>
      <c r="C24" s="15">
        <f>IF($G$12=1,20, 0)</f>
        <v>20</v>
      </c>
      <c r="D24" s="15" t="s">
        <v>170</v>
      </c>
      <c r="E24" s="15">
        <f>IF($G$12=1,32, 0)</f>
        <v>32</v>
      </c>
      <c r="F24" s="15">
        <f>IF($G$12=1,18, 0)</f>
        <v>18</v>
      </c>
      <c r="G24" s="15">
        <f>IF($G$12=1,38, 0)</f>
        <v>38</v>
      </c>
    </row>
    <row r="25" spans="1:10">
      <c r="A25" s="52" t="s">
        <v>266</v>
      </c>
      <c r="B25" s="15">
        <f>IF($G$12=2,175, 0)</f>
        <v>0</v>
      </c>
      <c r="C25" s="15">
        <f>IF($G$12=2,18, 0)</f>
        <v>0</v>
      </c>
      <c r="D25" s="15" t="s">
        <v>170</v>
      </c>
      <c r="E25" s="15">
        <f>IF($G$12=2,27, 0)</f>
        <v>0</v>
      </c>
      <c r="F25" s="15">
        <f>IF($G$12=2,16, 0)</f>
        <v>0</v>
      </c>
      <c r="G25" s="15">
        <f>IF($G$12=2,35, 0)</f>
        <v>0</v>
      </c>
      <c r="H25" s="146"/>
    </row>
    <row r="26" spans="1:10">
      <c r="A26" s="52" t="s">
        <v>267</v>
      </c>
      <c r="B26" s="15">
        <f>IF($G$12=3,165, 0)</f>
        <v>0</v>
      </c>
      <c r="C26" s="15">
        <f>IF($G$12=3,16, 0)</f>
        <v>0</v>
      </c>
      <c r="D26" s="15" t="s">
        <v>170</v>
      </c>
      <c r="E26" s="15">
        <f>IF($G$12=3,25, 0)</f>
        <v>0</v>
      </c>
      <c r="F26" s="15">
        <f>IF($G$12=3,13, 0)</f>
        <v>0</v>
      </c>
      <c r="G26" s="15">
        <f>IF($G$12=3,32, 0)</f>
        <v>0</v>
      </c>
    </row>
    <row r="27" spans="1:10">
      <c r="A27" s="52" t="s">
        <v>268</v>
      </c>
      <c r="B27" s="15">
        <f>IF($G$12=4,160, 0)</f>
        <v>0</v>
      </c>
      <c r="C27" s="15">
        <f>IF($G$12=4,15, 0)</f>
        <v>0</v>
      </c>
      <c r="D27" s="15" t="s">
        <v>170</v>
      </c>
      <c r="E27" s="15">
        <f>IF($G$12=4,24, 0)</f>
        <v>0</v>
      </c>
      <c r="F27" s="15">
        <f>IF($G$12=4,12, 0)</f>
        <v>0</v>
      </c>
      <c r="G27" s="15">
        <f>IF($G$12=4,30, 0)</f>
        <v>0</v>
      </c>
    </row>
    <row r="28" spans="1:10">
      <c r="B28" s="129">
        <f>SUM(B24:B27)</f>
        <v>200</v>
      </c>
      <c r="C28" s="129">
        <f>SUM(C24:C27)</f>
        <v>20</v>
      </c>
      <c r="D28" s="129" t="s">
        <v>170</v>
      </c>
      <c r="E28" s="129">
        <f>SUM(E24:E27)</f>
        <v>32</v>
      </c>
      <c r="F28" s="129">
        <f>SUM(F24:F27)</f>
        <v>18</v>
      </c>
      <c r="G28" s="129">
        <f>SUM(G24:G27)</f>
        <v>38</v>
      </c>
    </row>
    <row r="29" spans="1:10">
      <c r="B29" s="52" t="s">
        <v>180</v>
      </c>
      <c r="C29" s="83" t="s">
        <v>260</v>
      </c>
      <c r="E29" s="52" t="s">
        <v>255</v>
      </c>
      <c r="F29" s="52" t="s">
        <v>254</v>
      </c>
      <c r="G29" s="83" t="s">
        <v>256</v>
      </c>
    </row>
    <row r="30" spans="1:10">
      <c r="A30" s="52" t="s">
        <v>116</v>
      </c>
      <c r="B30" s="15">
        <f>F39*25</f>
        <v>0</v>
      </c>
      <c r="C30" s="15">
        <f>($F39)*25</f>
        <v>0</v>
      </c>
      <c r="D30" s="15" t="s">
        <v>170</v>
      </c>
      <c r="E30" s="15">
        <f>($F39)*5</f>
        <v>0</v>
      </c>
      <c r="F30" s="15">
        <f>($F39)*25</f>
        <v>0</v>
      </c>
      <c r="G30" s="15">
        <f>($F39)*5</f>
        <v>0</v>
      </c>
      <c r="H30" s="393"/>
    </row>
    <row r="31" spans="1:10">
      <c r="A31" s="52" t="s">
        <v>117</v>
      </c>
      <c r="B31" s="15">
        <f>($F40)*25</f>
        <v>0</v>
      </c>
      <c r="C31" s="15">
        <f>($F40)*10</f>
        <v>0</v>
      </c>
      <c r="D31" s="15"/>
      <c r="E31" s="15">
        <f>($F40)*5</f>
        <v>0</v>
      </c>
      <c r="F31" s="15">
        <f>($F40)*2.5</f>
        <v>0</v>
      </c>
      <c r="G31" s="15">
        <f>($F40)*5</f>
        <v>0</v>
      </c>
      <c r="H31" s="394"/>
    </row>
    <row r="32" spans="1:10" s="62" customFormat="1">
      <c r="A32" s="52" t="s">
        <v>118</v>
      </c>
      <c r="B32" s="15">
        <f>F41*25</f>
        <v>0</v>
      </c>
      <c r="C32" s="15">
        <f>($F41)*12.5</f>
        <v>0</v>
      </c>
      <c r="D32" s="15"/>
      <c r="E32" s="15">
        <f>($F41)*7.5</f>
        <v>0</v>
      </c>
      <c r="F32" s="15">
        <f>($F41)*5</f>
        <v>0</v>
      </c>
      <c r="G32" s="15">
        <f>($F41)*10</f>
        <v>0</v>
      </c>
      <c r="H32" s="394"/>
      <c r="I32" s="52"/>
      <c r="J32" s="52"/>
    </row>
    <row r="33" spans="1:10">
      <c r="A33" s="52" t="s">
        <v>319</v>
      </c>
      <c r="B33" s="15">
        <f>($F42)*25</f>
        <v>0</v>
      </c>
      <c r="C33" s="15">
        <f>($F42)*15</f>
        <v>0</v>
      </c>
      <c r="D33" s="15"/>
      <c r="E33" s="15">
        <f>($F42)*10</f>
        <v>0</v>
      </c>
      <c r="F33" s="15">
        <f>($F42)*10</f>
        <v>0</v>
      </c>
      <c r="G33" s="15">
        <f>($F42)*15</f>
        <v>0</v>
      </c>
      <c r="H33" s="394"/>
    </row>
    <row r="34" spans="1:10">
      <c r="A34" s="52" t="s">
        <v>119</v>
      </c>
      <c r="B34" s="15">
        <f>INFORMATION!$A$21*75</f>
        <v>0</v>
      </c>
      <c r="C34" s="15">
        <f>F43*20</f>
        <v>0</v>
      </c>
      <c r="D34" s="15"/>
      <c r="E34" s="15">
        <f>F43*17.5</f>
        <v>0</v>
      </c>
      <c r="F34" s="15">
        <f>F43*12.5</f>
        <v>0</v>
      </c>
      <c r="G34" s="15">
        <f>F43*20</f>
        <v>0</v>
      </c>
      <c r="H34" s="394"/>
    </row>
    <row r="35" spans="1:10" s="87" customFormat="1">
      <c r="A35" s="87" t="s">
        <v>86</v>
      </c>
      <c r="B35" s="129">
        <f>SUM(B30:B34)</f>
        <v>0</v>
      </c>
      <c r="C35" s="129">
        <f>SUM(C30:C34)</f>
        <v>0</v>
      </c>
      <c r="D35" s="129" t="s">
        <v>170</v>
      </c>
      <c r="E35" s="129">
        <f>SUM(E30:E34)</f>
        <v>0</v>
      </c>
      <c r="F35" s="129">
        <f>SUM(F30:F34)</f>
        <v>0</v>
      </c>
      <c r="G35" s="129">
        <f>SUM(G30:G34)</f>
        <v>0</v>
      </c>
      <c r="H35" s="52"/>
      <c r="I35" s="52"/>
      <c r="J35" s="52"/>
    </row>
    <row r="36" spans="1:10">
      <c r="C36" s="52"/>
      <c r="G36" s="52"/>
    </row>
    <row r="37" spans="1:10" ht="16">
      <c r="A37" s="397" t="s">
        <v>82</v>
      </c>
      <c r="B37" s="397"/>
      <c r="C37" s="397"/>
      <c r="E37" s="399" t="s">
        <v>308</v>
      </c>
      <c r="F37" s="399"/>
      <c r="G37" s="399"/>
    </row>
    <row r="38" spans="1:10" s="88" customFormat="1">
      <c r="A38" s="136" t="s">
        <v>299</v>
      </c>
      <c r="B38" s="52"/>
      <c r="C38" s="52"/>
      <c r="E38" s="147" t="s">
        <v>419</v>
      </c>
      <c r="F38" s="147"/>
      <c r="G38" s="147"/>
      <c r="H38" s="52"/>
      <c r="I38" s="52"/>
      <c r="J38" s="52"/>
    </row>
    <row r="39" spans="1:10" s="88" customFormat="1">
      <c r="A39" s="395" t="s">
        <v>239</v>
      </c>
      <c r="B39" s="396"/>
      <c r="C39" s="49" t="s">
        <v>170</v>
      </c>
      <c r="E39" s="52"/>
      <c r="F39" s="148">
        <f>INFORMATION!A17</f>
        <v>0</v>
      </c>
      <c r="G39" s="149" t="s">
        <v>182</v>
      </c>
      <c r="H39" s="52"/>
      <c r="I39" s="52"/>
      <c r="J39" s="52"/>
    </row>
    <row r="40" spans="1:10">
      <c r="A40" s="52" t="s">
        <v>315</v>
      </c>
      <c r="C40" s="49"/>
      <c r="F40" s="148">
        <f>INFORMATION!A18</f>
        <v>0</v>
      </c>
      <c r="G40" s="149" t="s">
        <v>183</v>
      </c>
    </row>
    <row r="41" spans="1:10" s="88" customFormat="1">
      <c r="A41" s="395" t="s">
        <v>203</v>
      </c>
      <c r="B41" s="396"/>
      <c r="C41" s="49">
        <v>0</v>
      </c>
      <c r="E41" s="52"/>
      <c r="F41" s="148">
        <f>INFORMATION!A19</f>
        <v>0</v>
      </c>
      <c r="G41" s="149" t="s">
        <v>63</v>
      </c>
      <c r="H41" s="52"/>
      <c r="I41" s="52"/>
      <c r="J41" s="52"/>
    </row>
    <row r="42" spans="1:10">
      <c r="A42" s="52" t="s">
        <v>296</v>
      </c>
      <c r="C42" s="123">
        <v>0</v>
      </c>
      <c r="F42" s="148">
        <f>INFORMATION!A20</f>
        <v>0</v>
      </c>
      <c r="G42" s="149" t="s">
        <v>84</v>
      </c>
    </row>
    <row r="43" spans="1:10">
      <c r="A43" s="395" t="s">
        <v>204</v>
      </c>
      <c r="B43" s="396"/>
      <c r="C43" s="124" t="s">
        <v>326</v>
      </c>
      <c r="F43" s="148">
        <f>INFORMATION!A21</f>
        <v>0</v>
      </c>
      <c r="G43" s="149" t="s">
        <v>184</v>
      </c>
    </row>
    <row r="44" spans="1:10">
      <c r="A44" s="395" t="s">
        <v>242</v>
      </c>
      <c r="B44" s="396"/>
      <c r="C44" s="172">
        <v>0</v>
      </c>
      <c r="F44" s="15">
        <f>SUM(F39:F43)*5</f>
        <v>0</v>
      </c>
      <c r="G44" s="15" t="s">
        <v>320</v>
      </c>
    </row>
    <row r="45" spans="1:10">
      <c r="A45" s="395" t="s">
        <v>241</v>
      </c>
      <c r="B45" s="396"/>
      <c r="C45" s="123">
        <v>0</v>
      </c>
      <c r="F45" s="150">
        <f>IF(F43&gt;=1,0,(F39*450+F40*350+F41*300+F42*300))</f>
        <v>0</v>
      </c>
      <c r="G45" s="148" t="s">
        <v>85</v>
      </c>
    </row>
    <row r="46" spans="1:10">
      <c r="A46" s="395" t="s">
        <v>139</v>
      </c>
      <c r="B46" s="396"/>
      <c r="C46" s="49">
        <v>0</v>
      </c>
      <c r="E46" s="147" t="s">
        <v>420</v>
      </c>
      <c r="F46" s="147"/>
      <c r="G46" s="147"/>
      <c r="H46" s="52" t="s">
        <v>170</v>
      </c>
    </row>
    <row r="47" spans="1:10">
      <c r="A47" s="395" t="s">
        <v>32</v>
      </c>
      <c r="B47" s="396"/>
      <c r="C47" s="16">
        <v>0</v>
      </c>
      <c r="F47" s="148">
        <f>INFORMATION!F17</f>
        <v>1</v>
      </c>
      <c r="G47" s="149" t="str">
        <f>INFORMATION!G17</f>
        <v>CATS</v>
      </c>
    </row>
    <row r="48" spans="1:10">
      <c r="A48" s="395" t="s">
        <v>140</v>
      </c>
      <c r="B48" s="396"/>
      <c r="C48" s="110">
        <f>25+(C42*0.05)/12</f>
        <v>25</v>
      </c>
      <c r="F48" s="148">
        <f>INFORMATION!F18</f>
        <v>0</v>
      </c>
      <c r="G48" s="149" t="str">
        <f>INFORMATION!G18</f>
        <v>DOGS</v>
      </c>
    </row>
    <row r="49" spans="1:7">
      <c r="A49" s="395" t="s">
        <v>141</v>
      </c>
      <c r="B49" s="396"/>
      <c r="C49" s="15" t="e">
        <f>((A62*2)*23/C46)+75</f>
        <v>#REF!</v>
      </c>
      <c r="F49" s="148">
        <f>INFORMATION!F19</f>
        <v>0</v>
      </c>
      <c r="G49" s="149" t="str">
        <f>INFORMATION!G19</f>
        <v>FISH TANKS</v>
      </c>
    </row>
    <row r="50" spans="1:7">
      <c r="C50" s="52"/>
      <c r="F50" s="148">
        <f>INFORMATION!F20</f>
        <v>0</v>
      </c>
      <c r="G50" s="149" t="str">
        <f>INFORMATION!G20</f>
        <v>REPTILES</v>
      </c>
    </row>
    <row r="51" spans="1:7">
      <c r="A51" s="52" t="s">
        <v>159</v>
      </c>
      <c r="C51" s="15">
        <v>55</v>
      </c>
      <c r="F51" s="148">
        <f>INFORMATION!F21</f>
        <v>0</v>
      </c>
      <c r="G51" s="149" t="str">
        <f>INFORMATION!G21</f>
        <v>BIRDS</v>
      </c>
    </row>
    <row r="52" spans="1:7">
      <c r="C52" s="52"/>
      <c r="F52" s="148">
        <f>INFORMATION!F22</f>
        <v>0</v>
      </c>
      <c r="G52" s="149" t="str">
        <f>INFORMATION!G22</f>
        <v>CRITTERS</v>
      </c>
    </row>
    <row r="53" spans="1:7">
      <c r="A53" s="395" t="s">
        <v>114</v>
      </c>
      <c r="B53" s="396"/>
      <c r="C53" s="110">
        <f>(C48*1.35)</f>
        <v>33.75</v>
      </c>
      <c r="F53" s="148">
        <f>INFORMATION!F23</f>
        <v>1</v>
      </c>
      <c r="G53" s="149" t="str">
        <f>INFORMATION!G23</f>
        <v>Total Pets</v>
      </c>
    </row>
    <row r="54" spans="1:7">
      <c r="A54" s="52" t="s">
        <v>50</v>
      </c>
      <c r="F54" s="83"/>
    </row>
    <row r="55" spans="1:7">
      <c r="F55" s="15">
        <f>INFORMATION!A23</f>
        <v>0</v>
      </c>
      <c r="G55" s="148" t="s">
        <v>85</v>
      </c>
    </row>
    <row r="57" spans="1:7">
      <c r="A57" s="90" t="s">
        <v>26</v>
      </c>
      <c r="B57" s="90"/>
    </row>
    <row r="58" spans="1:7">
      <c r="A58" s="52" t="s">
        <v>329</v>
      </c>
      <c r="E58" s="91" t="s">
        <v>286</v>
      </c>
    </row>
    <row r="59" spans="1:7">
      <c r="A59" s="52" t="s">
        <v>328</v>
      </c>
      <c r="E59" s="91" t="s">
        <v>27</v>
      </c>
    </row>
    <row r="60" spans="1:7">
      <c r="A60" s="52" t="s">
        <v>321</v>
      </c>
      <c r="E60" s="91" t="s">
        <v>28</v>
      </c>
    </row>
    <row r="61" spans="1:7">
      <c r="A61" s="52" t="s">
        <v>306</v>
      </c>
      <c r="C61" s="52"/>
      <c r="E61" s="91" t="s">
        <v>305</v>
      </c>
      <c r="G61" s="52"/>
    </row>
    <row r="62" spans="1:7">
      <c r="A62" s="88" t="e">
        <f>(C10+G10)*2</f>
        <v>#REF!</v>
      </c>
      <c r="B62" s="52">
        <f>F39+F40+F41+F42+F43+F47+F48+F49+F50+F51</f>
        <v>1</v>
      </c>
      <c r="C62" s="52"/>
      <c r="G62" s="89" t="s">
        <v>83</v>
      </c>
    </row>
    <row r="63" spans="1:7">
      <c r="C63" s="52"/>
      <c r="G63" s="52"/>
    </row>
    <row r="64" spans="1:7">
      <c r="C64" s="52"/>
      <c r="G64" s="52"/>
    </row>
    <row r="65" spans="3:7">
      <c r="C65" s="52" t="s">
        <v>170</v>
      </c>
      <c r="G65" s="52"/>
    </row>
    <row r="66" spans="3:7">
      <c r="C66" s="52"/>
      <c r="G66" s="52"/>
    </row>
    <row r="67" spans="3:7">
      <c r="C67" s="52"/>
      <c r="G67" s="52"/>
    </row>
    <row r="68" spans="3:7">
      <c r="C68" s="52"/>
      <c r="G68" s="52"/>
    </row>
    <row r="69" spans="3:7">
      <c r="C69" s="52"/>
      <c r="G69" s="52"/>
    </row>
    <row r="70" spans="3:7">
      <c r="C70" s="52"/>
      <c r="G70" s="52"/>
    </row>
    <row r="71" spans="3:7">
      <c r="C71" s="52"/>
      <c r="G71" s="52"/>
    </row>
    <row r="72" spans="3:7">
      <c r="C72" s="52"/>
      <c r="G72" s="52"/>
    </row>
    <row r="73" spans="3:7">
      <c r="C73" s="52"/>
      <c r="G73" s="52"/>
    </row>
    <row r="74" spans="3:7">
      <c r="C74" s="52"/>
      <c r="G74" s="52"/>
    </row>
    <row r="75" spans="3:7">
      <c r="C75" s="52"/>
      <c r="G75" s="52"/>
    </row>
    <row r="76" spans="3:7">
      <c r="C76" s="52"/>
      <c r="G76" s="52"/>
    </row>
    <row r="77" spans="3:7">
      <c r="C77" s="52"/>
      <c r="G77" s="52"/>
    </row>
    <row r="78" spans="3:7">
      <c r="C78" s="52"/>
      <c r="G78" s="52"/>
    </row>
    <row r="79" spans="3:7">
      <c r="C79" s="52"/>
      <c r="G79" s="52"/>
    </row>
    <row r="80" spans="3:7">
      <c r="C80" s="52"/>
      <c r="G80" s="52"/>
    </row>
    <row r="81" spans="3:7">
      <c r="C81" s="52"/>
      <c r="G81" s="52"/>
    </row>
    <row r="82" spans="3:7">
      <c r="C82" s="52"/>
      <c r="G82" s="52"/>
    </row>
    <row r="83" spans="3:7">
      <c r="C83" s="52"/>
      <c r="G83" s="52"/>
    </row>
    <row r="84" spans="3:7">
      <c r="C84" s="52"/>
      <c r="G84" s="52"/>
    </row>
    <row r="85" spans="3:7">
      <c r="C85" s="52"/>
      <c r="G85" s="52"/>
    </row>
    <row r="86" spans="3:7">
      <c r="C86" s="52"/>
      <c r="G86" s="52"/>
    </row>
    <row r="87" spans="3:7">
      <c r="C87" s="52"/>
      <c r="G87" s="52"/>
    </row>
    <row r="88" spans="3:7">
      <c r="C88" s="52"/>
      <c r="G88" s="52"/>
    </row>
    <row r="89" spans="3:7">
      <c r="C89" s="52"/>
      <c r="G89" s="52"/>
    </row>
    <row r="90" spans="3:7">
      <c r="C90" s="52"/>
      <c r="G90" s="52"/>
    </row>
    <row r="91" spans="3:7">
      <c r="C91" s="52"/>
      <c r="G91" s="52"/>
    </row>
    <row r="92" spans="3:7">
      <c r="C92" s="52"/>
      <c r="G92" s="52"/>
    </row>
    <row r="93" spans="3:7">
      <c r="C93" s="52"/>
      <c r="G93" s="52"/>
    </row>
    <row r="94" spans="3:7">
      <c r="C94" s="52"/>
      <c r="G94" s="52"/>
    </row>
    <row r="95" spans="3:7">
      <c r="C95" s="52"/>
      <c r="G95" s="52"/>
    </row>
    <row r="96" spans="3:7">
      <c r="C96" s="52"/>
      <c r="G96" s="52"/>
    </row>
    <row r="97" spans="3:7">
      <c r="C97" s="52"/>
      <c r="G97" s="52"/>
    </row>
    <row r="98" spans="3:7">
      <c r="C98" s="52"/>
      <c r="G98" s="52"/>
    </row>
    <row r="99" spans="3:7">
      <c r="C99" s="52"/>
      <c r="G99" s="52"/>
    </row>
    <row r="100" spans="3:7">
      <c r="C100" s="52"/>
      <c r="G100" s="52"/>
    </row>
    <row r="101" spans="3:7">
      <c r="C101" s="52"/>
      <c r="G101" s="52"/>
    </row>
    <row r="102" spans="3:7">
      <c r="C102" s="52"/>
      <c r="G102" s="52"/>
    </row>
    <row r="103" spans="3:7">
      <c r="C103" s="52"/>
      <c r="G103" s="52"/>
    </row>
    <row r="104" spans="3:7">
      <c r="C104" s="52"/>
      <c r="G104" s="52"/>
    </row>
    <row r="105" spans="3:7">
      <c r="C105" s="52"/>
      <c r="G105" s="52"/>
    </row>
    <row r="106" spans="3:7">
      <c r="C106" s="52"/>
      <c r="G106" s="52"/>
    </row>
    <row r="107" spans="3:7">
      <c r="C107" s="52"/>
      <c r="G107" s="52"/>
    </row>
    <row r="108" spans="3:7">
      <c r="C108" s="52"/>
      <c r="G108" s="52"/>
    </row>
    <row r="109" spans="3:7">
      <c r="C109" s="52"/>
      <c r="G109" s="52"/>
    </row>
    <row r="110" spans="3:7">
      <c r="C110" s="52"/>
      <c r="G110" s="52"/>
    </row>
    <row r="111" spans="3:7">
      <c r="C111" s="52"/>
      <c r="G111" s="52"/>
    </row>
    <row r="112" spans="3:7">
      <c r="C112" s="52"/>
      <c r="G112" s="52"/>
    </row>
    <row r="113" spans="3:7">
      <c r="C113" s="52"/>
      <c r="G113" s="52"/>
    </row>
    <row r="114" spans="3:7">
      <c r="C114" s="52"/>
      <c r="G114" s="52"/>
    </row>
    <row r="115" spans="3:7">
      <c r="C115" s="52"/>
      <c r="G115" s="52"/>
    </row>
    <row r="116" spans="3:7">
      <c r="C116" s="52"/>
      <c r="G116" s="52"/>
    </row>
    <row r="117" spans="3:7">
      <c r="C117" s="52"/>
      <c r="G117" s="52"/>
    </row>
    <row r="118" spans="3:7">
      <c r="C118" s="52"/>
      <c r="G118" s="52"/>
    </row>
    <row r="119" spans="3:7">
      <c r="C119" s="52"/>
      <c r="G119" s="52"/>
    </row>
    <row r="120" spans="3:7">
      <c r="C120" s="52"/>
      <c r="G120" s="52"/>
    </row>
    <row r="121" spans="3:7">
      <c r="C121" s="52"/>
      <c r="G121" s="52"/>
    </row>
    <row r="122" spans="3:7">
      <c r="C122" s="52"/>
      <c r="G122" s="52"/>
    </row>
    <row r="123" spans="3:7">
      <c r="C123" s="52"/>
      <c r="G123" s="52"/>
    </row>
    <row r="124" spans="3:7">
      <c r="C124" s="52"/>
      <c r="G124" s="52"/>
    </row>
    <row r="125" spans="3:7">
      <c r="C125" s="52"/>
      <c r="G125" s="52"/>
    </row>
    <row r="126" spans="3:7">
      <c r="C126" s="52"/>
      <c r="G126" s="52"/>
    </row>
    <row r="127" spans="3:7">
      <c r="C127" s="52"/>
      <c r="G127" s="52"/>
    </row>
    <row r="128" spans="3:7">
      <c r="C128" s="52"/>
      <c r="G128" s="52"/>
    </row>
    <row r="129" spans="3:7">
      <c r="C129" s="52"/>
      <c r="G129" s="52"/>
    </row>
    <row r="130" spans="3:7">
      <c r="C130" s="52"/>
      <c r="G130" s="52"/>
    </row>
    <row r="131" spans="3:7">
      <c r="C131" s="52"/>
      <c r="G131" s="52"/>
    </row>
    <row r="132" spans="3:7">
      <c r="C132" s="52"/>
      <c r="G132" s="52"/>
    </row>
    <row r="133" spans="3:7">
      <c r="C133" s="52"/>
      <c r="G133" s="52"/>
    </row>
    <row r="134" spans="3:7">
      <c r="C134" s="52"/>
      <c r="G134" s="52"/>
    </row>
    <row r="135" spans="3:7">
      <c r="C135" s="52"/>
      <c r="G135" s="52"/>
    </row>
    <row r="136" spans="3:7">
      <c r="C136" s="52"/>
      <c r="G136" s="52"/>
    </row>
    <row r="137" spans="3:7">
      <c r="C137" s="52"/>
      <c r="G137" s="52"/>
    </row>
    <row r="138" spans="3:7">
      <c r="C138" s="52"/>
      <c r="G138" s="52"/>
    </row>
    <row r="139" spans="3:7">
      <c r="C139" s="52"/>
      <c r="G139" s="52"/>
    </row>
    <row r="140" spans="3:7">
      <c r="C140" s="52"/>
      <c r="G140" s="52"/>
    </row>
    <row r="141" spans="3:7">
      <c r="C141" s="52"/>
      <c r="G141" s="52"/>
    </row>
    <row r="142" spans="3:7">
      <c r="C142" s="52"/>
      <c r="G142" s="52"/>
    </row>
    <row r="143" spans="3:7">
      <c r="C143" s="52"/>
      <c r="G143" s="52"/>
    </row>
    <row r="144" spans="3:7">
      <c r="C144" s="52"/>
      <c r="G144" s="52"/>
    </row>
    <row r="145" spans="3:7">
      <c r="C145" s="52"/>
      <c r="G145" s="52"/>
    </row>
    <row r="146" spans="3:7">
      <c r="C146" s="52"/>
      <c r="G146" s="52"/>
    </row>
    <row r="147" spans="3:7">
      <c r="C147" s="52"/>
      <c r="G147" s="52"/>
    </row>
    <row r="148" spans="3:7">
      <c r="C148" s="52"/>
      <c r="G148" s="52"/>
    </row>
    <row r="149" spans="3:7">
      <c r="C149" s="52"/>
      <c r="G149" s="52"/>
    </row>
    <row r="150" spans="3:7">
      <c r="C150" s="52"/>
      <c r="G150" s="52"/>
    </row>
    <row r="151" spans="3:7">
      <c r="C151" s="52"/>
      <c r="G151" s="52"/>
    </row>
    <row r="152" spans="3:7">
      <c r="C152" s="52"/>
      <c r="G152" s="52"/>
    </row>
    <row r="153" spans="3:7">
      <c r="C153" s="52"/>
      <c r="G153" s="52"/>
    </row>
    <row r="154" spans="3:7">
      <c r="C154" s="52"/>
      <c r="G154" s="52"/>
    </row>
    <row r="155" spans="3:7">
      <c r="C155" s="52"/>
      <c r="G155" s="52"/>
    </row>
    <row r="156" spans="3:7">
      <c r="C156" s="52"/>
      <c r="G156" s="52"/>
    </row>
    <row r="157" spans="3:7">
      <c r="C157" s="52"/>
      <c r="G157" s="52"/>
    </row>
    <row r="158" spans="3:7">
      <c r="C158" s="52"/>
      <c r="G158" s="52"/>
    </row>
    <row r="159" spans="3:7">
      <c r="C159" s="52"/>
      <c r="G159" s="52"/>
    </row>
    <row r="160" spans="3:7">
      <c r="C160" s="52"/>
      <c r="G160" s="52"/>
    </row>
    <row r="161" spans="3:7">
      <c r="C161" s="52"/>
      <c r="G161" s="52"/>
    </row>
    <row r="162" spans="3:7">
      <c r="C162" s="52"/>
      <c r="G162" s="52"/>
    </row>
    <row r="163" spans="3:7">
      <c r="C163" s="52"/>
      <c r="G163" s="52"/>
    </row>
    <row r="164" spans="3:7">
      <c r="C164" s="52"/>
      <c r="G164" s="52"/>
    </row>
    <row r="165" spans="3:7">
      <c r="C165" s="52"/>
      <c r="G165" s="52"/>
    </row>
    <row r="166" spans="3:7">
      <c r="C166" s="52"/>
      <c r="G166" s="52"/>
    </row>
    <row r="167" spans="3:7">
      <c r="C167" s="52"/>
      <c r="G167" s="52"/>
    </row>
    <row r="168" spans="3:7">
      <c r="C168" s="52"/>
      <c r="G168" s="52"/>
    </row>
    <row r="169" spans="3:7">
      <c r="C169" s="52"/>
      <c r="G169" s="52"/>
    </row>
    <row r="170" spans="3:7">
      <c r="C170" s="52"/>
      <c r="G170" s="52"/>
    </row>
    <row r="171" spans="3:7">
      <c r="C171" s="52"/>
      <c r="G171" s="52"/>
    </row>
    <row r="172" spans="3:7">
      <c r="C172" s="52"/>
      <c r="G172" s="52"/>
    </row>
    <row r="173" spans="3:7">
      <c r="C173" s="52"/>
      <c r="G173" s="52"/>
    </row>
    <row r="174" spans="3:7">
      <c r="C174" s="52"/>
      <c r="G174" s="52"/>
    </row>
    <row r="175" spans="3:7">
      <c r="C175" s="52"/>
      <c r="G175" s="52"/>
    </row>
    <row r="176" spans="3:7">
      <c r="C176" s="52"/>
      <c r="G176" s="52"/>
    </row>
    <row r="177" spans="3:7">
      <c r="C177" s="52"/>
      <c r="G177" s="52"/>
    </row>
    <row r="178" spans="3:7">
      <c r="C178" s="52"/>
      <c r="G178" s="52"/>
    </row>
    <row r="179" spans="3:7">
      <c r="C179" s="52"/>
      <c r="G179" s="52"/>
    </row>
    <row r="180" spans="3:7">
      <c r="C180" s="52"/>
      <c r="G180" s="52"/>
    </row>
    <row r="181" spans="3:7">
      <c r="C181" s="52"/>
      <c r="G181" s="52"/>
    </row>
    <row r="182" spans="3:7">
      <c r="C182" s="52"/>
      <c r="G182" s="52"/>
    </row>
    <row r="183" spans="3:7">
      <c r="C183" s="52"/>
      <c r="G183" s="52"/>
    </row>
    <row r="184" spans="3:7">
      <c r="C184" s="52"/>
      <c r="G184" s="52"/>
    </row>
    <row r="185" spans="3:7">
      <c r="C185" s="52"/>
      <c r="G185" s="52"/>
    </row>
    <row r="186" spans="3:7">
      <c r="C186" s="52"/>
      <c r="G186" s="52"/>
    </row>
    <row r="187" spans="3:7">
      <c r="C187" s="52"/>
      <c r="G187" s="52"/>
    </row>
    <row r="188" spans="3:7">
      <c r="C188" s="52"/>
      <c r="G188" s="52"/>
    </row>
    <row r="189" spans="3:7">
      <c r="C189" s="52"/>
      <c r="G189" s="52"/>
    </row>
    <row r="190" spans="3:7">
      <c r="C190" s="52"/>
      <c r="G190" s="52"/>
    </row>
    <row r="191" spans="3:7">
      <c r="C191" s="52"/>
      <c r="G191" s="52"/>
    </row>
    <row r="192" spans="3:7">
      <c r="C192" s="52"/>
      <c r="G192" s="52"/>
    </row>
    <row r="193" spans="3:7">
      <c r="C193" s="52"/>
      <c r="G193" s="52"/>
    </row>
    <row r="194" spans="3:7">
      <c r="C194" s="52"/>
      <c r="G194" s="52"/>
    </row>
    <row r="195" spans="3:7">
      <c r="C195" s="52"/>
      <c r="G195" s="52"/>
    </row>
    <row r="196" spans="3:7">
      <c r="C196" s="52"/>
      <c r="G196" s="52"/>
    </row>
    <row r="197" spans="3:7">
      <c r="C197" s="52"/>
      <c r="G197" s="52"/>
    </row>
    <row r="198" spans="3:7">
      <c r="C198" s="52"/>
      <c r="G198" s="52"/>
    </row>
    <row r="199" spans="3:7">
      <c r="C199" s="52"/>
      <c r="G199" s="52"/>
    </row>
    <row r="200" spans="3:7">
      <c r="C200" s="52"/>
      <c r="G200" s="52"/>
    </row>
    <row r="201" spans="3:7">
      <c r="C201" s="52"/>
      <c r="G201" s="52"/>
    </row>
    <row r="202" spans="3:7">
      <c r="C202" s="52"/>
      <c r="G202" s="52"/>
    </row>
    <row r="203" spans="3:7">
      <c r="C203" s="52"/>
      <c r="G203" s="52"/>
    </row>
    <row r="204" spans="3:7">
      <c r="C204" s="52"/>
      <c r="G204" s="52"/>
    </row>
    <row r="205" spans="3:7">
      <c r="C205" s="52"/>
      <c r="G205" s="52"/>
    </row>
    <row r="206" spans="3:7">
      <c r="C206" s="52"/>
      <c r="G206" s="52"/>
    </row>
    <row r="207" spans="3:7">
      <c r="C207" s="52"/>
      <c r="G207" s="52"/>
    </row>
    <row r="208" spans="3:7">
      <c r="C208" s="52"/>
      <c r="G208" s="52"/>
    </row>
    <row r="209" spans="3:7">
      <c r="C209" s="52"/>
      <c r="G209" s="52"/>
    </row>
    <row r="210" spans="3:7">
      <c r="C210" s="52"/>
      <c r="G210" s="52"/>
    </row>
    <row r="211" spans="3:7">
      <c r="C211" s="52"/>
      <c r="G211" s="52"/>
    </row>
    <row r="212" spans="3:7">
      <c r="C212" s="52"/>
      <c r="G212" s="52"/>
    </row>
    <row r="213" spans="3:7">
      <c r="C213" s="52"/>
      <c r="G213" s="52"/>
    </row>
    <row r="214" spans="3:7">
      <c r="C214" s="52"/>
      <c r="G214" s="52"/>
    </row>
    <row r="215" spans="3:7">
      <c r="C215" s="52"/>
      <c r="G215" s="52"/>
    </row>
    <row r="216" spans="3:7">
      <c r="C216" s="52"/>
      <c r="G216" s="52"/>
    </row>
    <row r="217" spans="3:7">
      <c r="C217" s="52"/>
      <c r="G217" s="52"/>
    </row>
    <row r="218" spans="3:7">
      <c r="C218" s="52"/>
      <c r="G218" s="52"/>
    </row>
    <row r="219" spans="3:7">
      <c r="C219" s="52"/>
      <c r="G219" s="52"/>
    </row>
    <row r="220" spans="3:7">
      <c r="C220" s="52"/>
      <c r="G220" s="52"/>
    </row>
    <row r="221" spans="3:7">
      <c r="C221" s="52"/>
      <c r="G221" s="52"/>
    </row>
    <row r="222" spans="3:7">
      <c r="C222" s="52"/>
      <c r="G222" s="52"/>
    </row>
    <row r="223" spans="3:7">
      <c r="C223" s="52"/>
      <c r="G223" s="52"/>
    </row>
    <row r="224" spans="3:7">
      <c r="C224" s="52"/>
      <c r="G224" s="52"/>
    </row>
    <row r="225" spans="3:7">
      <c r="C225" s="52"/>
      <c r="G225" s="52"/>
    </row>
    <row r="226" spans="3:7">
      <c r="C226" s="52"/>
      <c r="G226" s="52"/>
    </row>
    <row r="227" spans="3:7">
      <c r="C227" s="52"/>
      <c r="G227" s="52"/>
    </row>
    <row r="228" spans="3:7">
      <c r="C228" s="52"/>
      <c r="G228" s="52"/>
    </row>
    <row r="229" spans="3:7">
      <c r="C229" s="52"/>
      <c r="G229" s="52"/>
    </row>
    <row r="230" spans="3:7">
      <c r="C230" s="52"/>
      <c r="G230" s="52"/>
    </row>
    <row r="231" spans="3:7">
      <c r="C231" s="52"/>
      <c r="G231" s="52"/>
    </row>
    <row r="232" spans="3:7">
      <c r="C232" s="52"/>
      <c r="G232" s="52"/>
    </row>
    <row r="233" spans="3:7">
      <c r="C233" s="52"/>
      <c r="G233" s="52"/>
    </row>
    <row r="234" spans="3:7">
      <c r="C234" s="52"/>
      <c r="G234" s="52"/>
    </row>
    <row r="235" spans="3:7">
      <c r="C235" s="52"/>
      <c r="G235" s="52"/>
    </row>
    <row r="236" spans="3:7">
      <c r="C236" s="52"/>
      <c r="G236" s="52"/>
    </row>
    <row r="237" spans="3:7">
      <c r="C237" s="52"/>
      <c r="G237" s="52"/>
    </row>
    <row r="238" spans="3:7">
      <c r="C238" s="52"/>
      <c r="G238" s="52"/>
    </row>
    <row r="239" spans="3:7">
      <c r="C239" s="52"/>
      <c r="G239" s="52"/>
    </row>
    <row r="240" spans="3:7">
      <c r="C240" s="52"/>
      <c r="G240" s="52"/>
    </row>
    <row r="241" spans="3:7">
      <c r="C241" s="52"/>
      <c r="G241" s="52"/>
    </row>
    <row r="242" spans="3:7">
      <c r="C242" s="52"/>
      <c r="G242" s="52"/>
    </row>
    <row r="243" spans="3:7">
      <c r="C243" s="52"/>
      <c r="G243" s="52"/>
    </row>
    <row r="244" spans="3:7">
      <c r="C244" s="52"/>
      <c r="G244" s="52"/>
    </row>
    <row r="245" spans="3:7">
      <c r="C245" s="52"/>
      <c r="G245" s="52"/>
    </row>
    <row r="246" spans="3:7">
      <c r="C246" s="52"/>
      <c r="G246" s="52"/>
    </row>
    <row r="247" spans="3:7">
      <c r="C247" s="52"/>
      <c r="G247" s="52"/>
    </row>
    <row r="248" spans="3:7">
      <c r="C248" s="52"/>
      <c r="G248" s="52"/>
    </row>
    <row r="249" spans="3:7">
      <c r="C249" s="52"/>
      <c r="G249" s="52"/>
    </row>
    <row r="250" spans="3:7">
      <c r="C250" s="52"/>
      <c r="G250" s="52"/>
    </row>
    <row r="251" spans="3:7">
      <c r="C251" s="52"/>
      <c r="G251" s="52"/>
    </row>
    <row r="252" spans="3:7">
      <c r="C252" s="52"/>
      <c r="G252" s="52"/>
    </row>
    <row r="253" spans="3:7">
      <c r="C253" s="52"/>
      <c r="G253" s="52"/>
    </row>
    <row r="254" spans="3:7">
      <c r="C254" s="52"/>
      <c r="G254" s="52"/>
    </row>
  </sheetData>
  <sheetProtection password="C640" sheet="1" objects="1" scenarios="1"/>
  <customSheetViews>
    <customSheetView guid="{D8F4F400-1F22-11D7-BD75-C829030E573B}" showPageBreaks="1" showRuler="0">
      <selection activeCell="C15" sqref="C15"/>
      <pageSetup scale="83" orientation="portrait" horizontalDpi="4294967292" verticalDpi="4294967292"/>
    </customSheetView>
  </customSheetViews>
  <mergeCells count="15">
    <mergeCell ref="A53:B53"/>
    <mergeCell ref="E37:G37"/>
    <mergeCell ref="A48:B48"/>
    <mergeCell ref="A49:B49"/>
    <mergeCell ref="A44:B44"/>
    <mergeCell ref="A45:B45"/>
    <mergeCell ref="A46:B46"/>
    <mergeCell ref="B3:C3"/>
    <mergeCell ref="H30:H34"/>
    <mergeCell ref="A47:B47"/>
    <mergeCell ref="A37:C37"/>
    <mergeCell ref="A39:B39"/>
    <mergeCell ref="A41:B41"/>
    <mergeCell ref="A43:B43"/>
    <mergeCell ref="A5:G5"/>
  </mergeCells>
  <phoneticPr fontId="25" type="noConversion"/>
  <hyperlinks>
    <hyperlink ref="E58" r:id="rId1"/>
    <hyperlink ref="E59" r:id="rId2"/>
    <hyperlink ref="E60" r:id="rId3"/>
    <hyperlink ref="E61" r:id="rId4"/>
  </hyperlinks>
  <pageMargins left="0.35" right="0.36" top="0.5" bottom="0.5" header="0.5" footer="0.5"/>
  <pageSetup scale="8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INFORMATION</vt:lpstr>
      <vt:lpstr>BUDGET</vt:lpstr>
      <vt:lpstr>MONTHLY LIVING</vt:lpstr>
      <vt:lpstr>PERSONAL FINANCES</vt:lpstr>
      <vt:lpstr>MARRIAGE</vt:lpstr>
      <vt:lpstr>DEPENDENTS</vt:lpstr>
      <vt:lpstr>SALARY</vt:lpstr>
      <vt:lpstr>HOUSE-TRANSPORT</vt:lpstr>
    </vt:vector>
  </TitlesOfParts>
  <Company>Big Top Productions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Bozo Inc</dc:creator>
  <cp:lastModifiedBy>Bozo Inc</cp:lastModifiedBy>
  <cp:lastPrinted>2013-10-06T19:58:54Z</cp:lastPrinted>
  <dcterms:created xsi:type="dcterms:W3CDTF">2002-11-28T15:59:53Z</dcterms:created>
  <dcterms:modified xsi:type="dcterms:W3CDTF">2013-10-15T02:12:46Z</dcterms:modified>
</cp:coreProperties>
</file>